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Good Stocks" sheetId="2" r:id="rId5"/>
    <sheet state="visible" name="DATA_SET 2" sheetId="3" r:id="rId6"/>
    <sheet state="visible" name="DATA SET 2" sheetId="4" r:id="rId7"/>
    <sheet state="visible" name="NSEBSE Code" sheetId="5" r:id="rId8"/>
  </sheets>
  <definedNames>
    <definedName hidden="1" localSheetId="3" name="_xlnm._FilterDatabase">'DATA SET 2'!$D$1:$D$1000</definedName>
  </definedNames>
  <calcPr/>
</workbook>
</file>

<file path=xl/sharedStrings.xml><?xml version="1.0" encoding="utf-8"?>
<sst xmlns="http://schemas.openxmlformats.org/spreadsheetml/2006/main" count="7124" uniqueCount="501">
  <si>
    <t>Market cap (in Rs Cr.)</t>
  </si>
  <si>
    <t>Current price</t>
  </si>
  <si>
    <t>PE Ratio</t>
  </si>
  <si>
    <t>52 Week High</t>
  </si>
  <si>
    <t>% Below 52 week high</t>
  </si>
  <si>
    <t>52 Week Low</t>
  </si>
  <si>
    <t>% Above 52 Week low</t>
  </si>
  <si>
    <t>Yesterday Closing Price</t>
  </si>
  <si>
    <t>% Change</t>
  </si>
  <si>
    <t>TCS</t>
  </si>
  <si>
    <t>HUL</t>
  </si>
  <si>
    <t>Airtel</t>
  </si>
  <si>
    <t>Bajaj Finance</t>
  </si>
  <si>
    <t>Asian Paints</t>
  </si>
  <si>
    <t>HCL Tech</t>
  </si>
  <si>
    <t xml:space="preserve"> </t>
  </si>
  <si>
    <t>Maruti Suzuki</t>
  </si>
  <si>
    <t>Avenue Supermart</t>
  </si>
  <si>
    <t>L&amp;T</t>
  </si>
  <si>
    <t>Bajaj Finserv</t>
  </si>
  <si>
    <t>Nestle</t>
  </si>
  <si>
    <t>Ultratech Cement</t>
  </si>
  <si>
    <t>M&amp;M</t>
  </si>
  <si>
    <t>Bajaj Auto</t>
  </si>
  <si>
    <t>Pidilite Industries</t>
  </si>
  <si>
    <t>SBI life Insurance</t>
  </si>
  <si>
    <t>Tata Steel</t>
  </si>
  <si>
    <t>Divi's Lab</t>
  </si>
  <si>
    <t>Tech Mahindra</t>
  </si>
  <si>
    <t>Dabur</t>
  </si>
  <si>
    <t>Britannia</t>
  </si>
  <si>
    <t>Eicher Motor</t>
  </si>
  <si>
    <t>Cipla</t>
  </si>
  <si>
    <t>Ambuja Cement</t>
  </si>
  <si>
    <t>SBI Cards</t>
  </si>
  <si>
    <t>L&amp;T Infotech</t>
  </si>
  <si>
    <t>Havells India</t>
  </si>
  <si>
    <t>Nykaa</t>
  </si>
  <si>
    <t>Tata Consumer Product</t>
  </si>
  <si>
    <t>Tata Power</t>
  </si>
  <si>
    <t>Marico</t>
  </si>
  <si>
    <t>Berger Paint</t>
  </si>
  <si>
    <t>Motherson Sumi</t>
  </si>
  <si>
    <t>Hero Motocorp</t>
  </si>
  <si>
    <t>Zomato</t>
  </si>
  <si>
    <t>Infoedge</t>
  </si>
  <si>
    <t>Tata Elxsi</t>
  </si>
  <si>
    <t>UPL</t>
  </si>
  <si>
    <t>IRCTC</t>
  </si>
  <si>
    <t>Bandhan Bank</t>
  </si>
  <si>
    <t>Page Industries</t>
  </si>
  <si>
    <t>P&amp;G Health</t>
  </si>
  <si>
    <t>Mphasis</t>
  </si>
  <si>
    <t>Paytm</t>
  </si>
  <si>
    <t>Balkrishna Industries</t>
  </si>
  <si>
    <t>Ashok Leyland</t>
  </si>
  <si>
    <t>Muthoot Finance</t>
  </si>
  <si>
    <t>United Breweries</t>
  </si>
  <si>
    <t>HDFC AMC</t>
  </si>
  <si>
    <t>PI industries</t>
  </si>
  <si>
    <t>TVS</t>
  </si>
  <si>
    <t>Trent</t>
  </si>
  <si>
    <t>sona comstar</t>
  </si>
  <si>
    <t>Astral Poly Technic</t>
  </si>
  <si>
    <t>Polycab</t>
  </si>
  <si>
    <t>Aurobindo Pharma</t>
  </si>
  <si>
    <t>Honeywell Auto</t>
  </si>
  <si>
    <t>MRF</t>
  </si>
  <si>
    <t>Gujarat Florochemical</t>
  </si>
  <si>
    <t>Gujarat Gas</t>
  </si>
  <si>
    <t>Max Financials</t>
  </si>
  <si>
    <t>Coromandel International</t>
  </si>
  <si>
    <t>PB Fintech</t>
  </si>
  <si>
    <t>Indraprastha Gas</t>
  </si>
  <si>
    <t>Lauras Lab</t>
  </si>
  <si>
    <t>Deepak Nitrite</t>
  </si>
  <si>
    <t>Relaxo Footwear</t>
  </si>
  <si>
    <t>Persistent System</t>
  </si>
  <si>
    <t>3M India</t>
  </si>
  <si>
    <t>IPCA Lab</t>
  </si>
  <si>
    <t>Bata India</t>
  </si>
  <si>
    <t>Coforge</t>
  </si>
  <si>
    <t>APL Apollo</t>
  </si>
  <si>
    <t>Crompton Greves</t>
  </si>
  <si>
    <t>Supreme Industries</t>
  </si>
  <si>
    <t>Bayer Cropscience</t>
  </si>
  <si>
    <t>Sumitomo Chemicals</t>
  </si>
  <si>
    <t>Dixon Technologies</t>
  </si>
  <si>
    <t>Tata Chemical</t>
  </si>
  <si>
    <t>Vinita Organics</t>
  </si>
  <si>
    <t>Whirlpool</t>
  </si>
  <si>
    <t>IDFC First</t>
  </si>
  <si>
    <t>NA</t>
  </si>
  <si>
    <t>Endurance Technology</t>
  </si>
  <si>
    <t>Pfizer</t>
  </si>
  <si>
    <t>Trident</t>
  </si>
  <si>
    <t>Navin Flourine</t>
  </si>
  <si>
    <t>LIC Housing Finance</t>
  </si>
  <si>
    <t>Dr Lal Path Lab</t>
  </si>
  <si>
    <t>IEX</t>
  </si>
  <si>
    <t>clean science</t>
  </si>
  <si>
    <t>Fine Organics</t>
  </si>
  <si>
    <t>Alembic Pharma</t>
  </si>
  <si>
    <t>Affle India</t>
  </si>
  <si>
    <t>Tanla Platform</t>
  </si>
  <si>
    <t>KPIT</t>
  </si>
  <si>
    <t>Sheela Form</t>
  </si>
  <si>
    <t>Indiamart Intermesh</t>
  </si>
  <si>
    <t>Happiest Mind</t>
  </si>
  <si>
    <t>CDSL</t>
  </si>
  <si>
    <t>Exide Battery</t>
  </si>
  <si>
    <t>Century Plyboard</t>
  </si>
  <si>
    <t>TTK Prestige</t>
  </si>
  <si>
    <t>CAMS</t>
  </si>
  <si>
    <t>Radico Khaitan</t>
  </si>
  <si>
    <t>KEI Industries</t>
  </si>
  <si>
    <t>Galaxy Surfactant</t>
  </si>
  <si>
    <t>Birlasoft</t>
  </si>
  <si>
    <t>Balaji Amine</t>
  </si>
  <si>
    <t>Mediplus</t>
  </si>
  <si>
    <t>Finolex Industries</t>
  </si>
  <si>
    <t>Borosil Renewable</t>
  </si>
  <si>
    <t>UTI AMC</t>
  </si>
  <si>
    <t>Amara Raja Batter</t>
  </si>
  <si>
    <t>Route Mobile</t>
  </si>
  <si>
    <t>Laxmi Orgamic</t>
  </si>
  <si>
    <t>HFCL</t>
  </si>
  <si>
    <t>Mahangar Gas</t>
  </si>
  <si>
    <t>Mannapuran Finance</t>
  </si>
  <si>
    <t>Amber Enterprise</t>
  </si>
  <si>
    <t>Poly Medicure Ltd</t>
  </si>
  <si>
    <t>Polyplex Corporation</t>
  </si>
  <si>
    <t>Sonata Software</t>
  </si>
  <si>
    <t>Astrazeneca</t>
  </si>
  <si>
    <t>Latent View</t>
  </si>
  <si>
    <t>Praj Industries</t>
  </si>
  <si>
    <t>ICICI Bank</t>
  </si>
  <si>
    <t>Granules India</t>
  </si>
  <si>
    <t>TCI Express</t>
  </si>
  <si>
    <t>Zensar Tech</t>
  </si>
  <si>
    <t>Mastek</t>
  </si>
  <si>
    <t>Garware technical</t>
  </si>
  <si>
    <t>GMM Pfaudler</t>
  </si>
  <si>
    <t>Sterlite technology</t>
  </si>
  <si>
    <t>Orient Electric</t>
  </si>
  <si>
    <t>Avanti Feed</t>
  </si>
  <si>
    <t>Cera Sanitaryware</t>
  </si>
  <si>
    <t>craftsman automation</t>
  </si>
  <si>
    <t>Bharat Rasayan</t>
  </si>
  <si>
    <t>Heidelberg Cement</t>
  </si>
  <si>
    <t>Astec Lifesciences</t>
  </si>
  <si>
    <t>Aarti Drugs</t>
  </si>
  <si>
    <t>Data Pattern</t>
  </si>
  <si>
    <t>Thyrocare</t>
  </si>
  <si>
    <t>Neogen Chemcial</t>
  </si>
  <si>
    <t>Dhanuka Agritech</t>
  </si>
  <si>
    <t>Advance Enzymes</t>
  </si>
  <si>
    <t>Wipro</t>
  </si>
  <si>
    <t>Newgen</t>
  </si>
  <si>
    <t>Sequent Science</t>
  </si>
  <si>
    <t>Mold tech</t>
  </si>
  <si>
    <t>Tasty Bite Eatable</t>
  </si>
  <si>
    <t>Heranba</t>
  </si>
  <si>
    <t>Paras Defense</t>
  </si>
  <si>
    <t>Gokaldas Export</t>
  </si>
  <si>
    <t>Somany home innovation ltd</t>
  </si>
  <si>
    <t>Tata Motor</t>
  </si>
  <si>
    <t>Bhansali Engineering</t>
  </si>
  <si>
    <t>Apollo pipes</t>
  </si>
  <si>
    <t>Garware hi-tech</t>
  </si>
  <si>
    <t>Chemcom Speciality</t>
  </si>
  <si>
    <t>Nureca</t>
  </si>
  <si>
    <t>Dr Reddy</t>
  </si>
  <si>
    <t>HDFC Bank</t>
  </si>
  <si>
    <t>Finolex Cable</t>
  </si>
  <si>
    <t>Nippon AMC</t>
  </si>
  <si>
    <t>Abbott India</t>
  </si>
  <si>
    <t>Axis Bank</t>
  </si>
  <si>
    <t>Bank of Baroda</t>
  </si>
  <si>
    <t>SBI Bank</t>
  </si>
  <si>
    <t>Federal Bank</t>
  </si>
  <si>
    <t>Shree Cement</t>
  </si>
  <si>
    <t>Infosys</t>
  </si>
  <si>
    <t>Reliance</t>
  </si>
  <si>
    <t>Gujarat Ambuja Export</t>
  </si>
  <si>
    <t>Acrysil Ltd</t>
  </si>
  <si>
    <t>HDFC life Insurance</t>
  </si>
  <si>
    <t>J K Cement</t>
  </si>
  <si>
    <t>ICICI Pru life insurance</t>
  </si>
  <si>
    <t>Titan</t>
  </si>
  <si>
    <t>Goldiam International</t>
  </si>
  <si>
    <t>United Spirits</t>
  </si>
  <si>
    <t>Rossari Biotech</t>
  </si>
  <si>
    <t>Kansai Nerolac</t>
  </si>
  <si>
    <t>Voltas</t>
  </si>
  <si>
    <t>Chemplast sanmar</t>
  </si>
  <si>
    <t>L&amp;T Technology</t>
  </si>
  <si>
    <t>Yesbank</t>
  </si>
  <si>
    <t>Gland Pharma</t>
  </si>
  <si>
    <t>Hawkins Cooker</t>
  </si>
  <si>
    <t>MTAR</t>
  </si>
  <si>
    <t>Vaibhav Global</t>
  </si>
  <si>
    <t>Atul Ltd</t>
  </si>
  <si>
    <t>MapmyIndia</t>
  </si>
  <si>
    <t>Sun pharma</t>
  </si>
  <si>
    <t>Caplin Point</t>
  </si>
  <si>
    <t>Cyient</t>
  </si>
  <si>
    <t>Varun Beverage</t>
  </si>
  <si>
    <t>Prince Pipe</t>
  </si>
  <si>
    <t>Jubilant FoodWorks</t>
  </si>
  <si>
    <t>Alkyl Amine</t>
  </si>
  <si>
    <t>HDFC</t>
  </si>
  <si>
    <t>AU Small Finance</t>
  </si>
  <si>
    <t>Hindustan Food</t>
  </si>
  <si>
    <t>Solar Industries</t>
  </si>
  <si>
    <t>Kotak Bank</t>
  </si>
  <si>
    <t>stove kraft</t>
  </si>
  <si>
    <t>Godrej Consumer</t>
  </si>
  <si>
    <t>Solara Active</t>
  </si>
  <si>
    <t>Kajaria Ceramic</t>
  </si>
  <si>
    <t>Krisna dignostic</t>
  </si>
  <si>
    <t>Metropolis Healthcare</t>
  </si>
  <si>
    <t>Aarti Industries</t>
  </si>
  <si>
    <t>Subex</t>
  </si>
  <si>
    <t>Crisil</t>
  </si>
  <si>
    <t>Lux Industries</t>
  </si>
  <si>
    <t>LIC</t>
  </si>
  <si>
    <t>Industry</t>
  </si>
  <si>
    <t>NSE/BSE</t>
  </si>
  <si>
    <t>Bear Mode 1</t>
  </si>
  <si>
    <t>Bear Mode 2</t>
  </si>
  <si>
    <t>Stock Status</t>
  </si>
  <si>
    <t>Cap Size</t>
  </si>
  <si>
    <t>IT</t>
  </si>
  <si>
    <t>BOM:532540</t>
  </si>
  <si>
    <t>FMCG</t>
  </si>
  <si>
    <t>HINDUNILVR</t>
  </si>
  <si>
    <t>Bank</t>
  </si>
  <si>
    <t>BOM:500112</t>
  </si>
  <si>
    <t>Financial Servcies</t>
  </si>
  <si>
    <t>Insurance</t>
  </si>
  <si>
    <t>BOM:543526</t>
  </si>
  <si>
    <t>Telecom</t>
  </si>
  <si>
    <t>BHARTIARTL</t>
  </si>
  <si>
    <t>NBFC</t>
  </si>
  <si>
    <t>BAJFINANCE</t>
  </si>
  <si>
    <t>KOTAKBANK</t>
  </si>
  <si>
    <t>Infrastructure</t>
  </si>
  <si>
    <t>BOM:500510</t>
  </si>
  <si>
    <t>AXISBANK</t>
  </si>
  <si>
    <t>Paint</t>
  </si>
  <si>
    <t>ASIANPAINT</t>
  </si>
  <si>
    <t>Automobile</t>
  </si>
  <si>
    <t>MARUTI</t>
  </si>
  <si>
    <t>Pharma</t>
  </si>
  <si>
    <t>SUNPHARMA</t>
  </si>
  <si>
    <t>BAJAJFINSV</t>
  </si>
  <si>
    <t>Retail</t>
  </si>
  <si>
    <t>BOM:500114</t>
  </si>
  <si>
    <t>Cement</t>
  </si>
  <si>
    <t>ULTRACEMCO</t>
  </si>
  <si>
    <t>NESTLEIND</t>
  </si>
  <si>
    <t>BOM:500470</t>
  </si>
  <si>
    <t>SBILIFE</t>
  </si>
  <si>
    <t>HDFCLIFE</t>
  </si>
  <si>
    <t>Chemical</t>
  </si>
  <si>
    <t>PIDILITIND</t>
  </si>
  <si>
    <t>BOM:540005</t>
  </si>
  <si>
    <t>BRITANNIA</t>
  </si>
  <si>
    <t>BOM:500425</t>
  </si>
  <si>
    <t>BAJAJ-AUTO</t>
  </si>
  <si>
    <t>TECHM</t>
  </si>
  <si>
    <t>DABUR</t>
  </si>
  <si>
    <t>BOM:532134</t>
  </si>
  <si>
    <t>BOM:532424</t>
  </si>
  <si>
    <t>DIVISLAB</t>
  </si>
  <si>
    <t>SHREECEM</t>
  </si>
  <si>
    <t>EICHERMOT</t>
  </si>
  <si>
    <t>CIPLA</t>
  </si>
  <si>
    <t>SBICARD</t>
  </si>
  <si>
    <t>Food</t>
  </si>
  <si>
    <t>BOM:540180</t>
  </si>
  <si>
    <t>Consumer Electrical</t>
  </si>
  <si>
    <t>HAVELLS</t>
  </si>
  <si>
    <t>TATACONSUM</t>
  </si>
  <si>
    <t>ICICIPRULI</t>
  </si>
  <si>
    <t>BOM:500400</t>
  </si>
  <si>
    <t>MARICO</t>
  </si>
  <si>
    <t>Spirits</t>
  </si>
  <si>
    <t>MCDOWELL-N</t>
  </si>
  <si>
    <t>BERGEPAINT</t>
  </si>
  <si>
    <t>HEROMOTOCO</t>
  </si>
  <si>
    <t>Agrochemical</t>
  </si>
  <si>
    <t>BOM:512070</t>
  </si>
  <si>
    <t>Automobile Ancilliary</t>
  </si>
  <si>
    <t>BOM:517334</t>
  </si>
  <si>
    <t>Catering</t>
  </si>
  <si>
    <t>PIIND</t>
  </si>
  <si>
    <t>Technology</t>
  </si>
  <si>
    <t>BOM:532777</t>
  </si>
  <si>
    <t>BOM:532343</t>
  </si>
  <si>
    <t>ABBOTINDIA</t>
  </si>
  <si>
    <t>AMC</t>
  </si>
  <si>
    <t>HDFCAMC</t>
  </si>
  <si>
    <t>Textile</t>
  </si>
  <si>
    <t>PAGEIND</t>
  </si>
  <si>
    <t>Tyre</t>
  </si>
  <si>
    <t>BALKRISIND</t>
  </si>
  <si>
    <t>UBL</t>
  </si>
  <si>
    <t>MUTHOOTFIN</t>
  </si>
  <si>
    <t>Small Finance</t>
  </si>
  <si>
    <t>AUBANK</t>
  </si>
  <si>
    <t>Piping</t>
  </si>
  <si>
    <t>ASTRAL</t>
  </si>
  <si>
    <t>POLYCAB</t>
  </si>
  <si>
    <t>Defence</t>
  </si>
  <si>
    <t>BOM:532725</t>
  </si>
  <si>
    <t>IT-Software</t>
  </si>
  <si>
    <t>TATAELXSI</t>
  </si>
  <si>
    <t>BOM:526299</t>
  </si>
  <si>
    <t>BANDHANBNK</t>
  </si>
  <si>
    <t>BOM:500290</t>
  </si>
  <si>
    <t>BOM:540115</t>
  </si>
  <si>
    <t>HONAUT</t>
  </si>
  <si>
    <t>JUBLFOOD</t>
  </si>
  <si>
    <t>Steel</t>
  </si>
  <si>
    <t>BOM:533758</t>
  </si>
  <si>
    <t>Plastic</t>
  </si>
  <si>
    <t>SUPREMEIND</t>
  </si>
  <si>
    <t>Utility</t>
  </si>
  <si>
    <t>GUJGASLTD</t>
  </si>
  <si>
    <t>chemical</t>
  </si>
  <si>
    <t>BOM:542812</t>
  </si>
  <si>
    <t>PERSISTENT</t>
  </si>
  <si>
    <t>BOM:500469</t>
  </si>
  <si>
    <t>BOM:532514</t>
  </si>
  <si>
    <t>BOM:500271</t>
  </si>
  <si>
    <t>BOM:500575</t>
  </si>
  <si>
    <t>DEEPAKNTR</t>
  </si>
  <si>
    <t>COROMANDEL</t>
  </si>
  <si>
    <t>AUROPHARMA</t>
  </si>
  <si>
    <t>3MINDIA</t>
  </si>
  <si>
    <t>automobile</t>
  </si>
  <si>
    <t>BOM:543300</t>
  </si>
  <si>
    <t>BOM:500770</t>
  </si>
  <si>
    <t>SUMICHEM</t>
  </si>
  <si>
    <t>BOM:543245</t>
  </si>
  <si>
    <t>BOM:532541</t>
  </si>
  <si>
    <t>BOM:500027</t>
  </si>
  <si>
    <t>BOM:532644</t>
  </si>
  <si>
    <t>KANSAINER</t>
  </si>
  <si>
    <t>Reserach</t>
  </si>
  <si>
    <t>CRISIL</t>
  </si>
  <si>
    <t>BOM:500253</t>
  </si>
  <si>
    <t>IPCALAB</t>
  </si>
  <si>
    <t>Manufacturing</t>
  </si>
  <si>
    <t>DIXON</t>
  </si>
  <si>
    <t>CROMPTON</t>
  </si>
  <si>
    <t>AARTIIND</t>
  </si>
  <si>
    <t>BAYERCROP</t>
  </si>
  <si>
    <t>VINATIORGA</t>
  </si>
  <si>
    <t>Footwear</t>
  </si>
  <si>
    <t>BATAINDIA</t>
  </si>
  <si>
    <t>BOM:532504</t>
  </si>
  <si>
    <t>ENDURANCE</t>
  </si>
  <si>
    <t>BOM:500680</t>
  </si>
  <si>
    <t>LAURUSLABS</t>
  </si>
  <si>
    <t>BOM:542651</t>
  </si>
  <si>
    <t>WHIRLPOOL</t>
  </si>
  <si>
    <t>Healthcare</t>
  </si>
  <si>
    <t>LALPATHLAB</t>
  </si>
  <si>
    <t>Ceramic</t>
  </si>
  <si>
    <t>KAJARIACER</t>
  </si>
  <si>
    <t>FINEORG</t>
  </si>
  <si>
    <t>BOM:521064</t>
  </si>
  <si>
    <t>BOM:540767</t>
  </si>
  <si>
    <t>EXIDEIND</t>
  </si>
  <si>
    <t>BOM:543318</t>
  </si>
  <si>
    <t>ALKYLAMINE</t>
  </si>
  <si>
    <t>INDIAMART</t>
  </si>
  <si>
    <t>AFFLE</t>
  </si>
  <si>
    <t>BOM:517569</t>
  </si>
  <si>
    <t>BOM:540750</t>
  </si>
  <si>
    <t>BOM:543227</t>
  </si>
  <si>
    <t>Form</t>
  </si>
  <si>
    <t>BOM:540203</t>
  </si>
  <si>
    <t>Playboard</t>
  </si>
  <si>
    <t>BOM:532548</t>
  </si>
  <si>
    <t>NSE:CAMS</t>
  </si>
  <si>
    <t>HDFCBANK</t>
  </si>
  <si>
    <t>TTKPRESTIG</t>
  </si>
  <si>
    <t>APLLTD</t>
  </si>
  <si>
    <t>BOM:500940</t>
  </si>
  <si>
    <t>MANAPPURAM</t>
  </si>
  <si>
    <t>BOM:543238</t>
  </si>
  <si>
    <t>BOM:500183</t>
  </si>
  <si>
    <t>BOM:532790</t>
  </si>
  <si>
    <t>AMARAJABAT</t>
  </si>
  <si>
    <t>CYIENT</t>
  </si>
  <si>
    <t>BOM:506820</t>
  </si>
  <si>
    <t>BOM:531768</t>
  </si>
  <si>
    <t>FINCABLES</t>
  </si>
  <si>
    <t>BOM:539957</t>
  </si>
  <si>
    <t>GALAXYSURF</t>
  </si>
  <si>
    <t>BOM:530999</t>
  </si>
  <si>
    <t>SONATSOFTW</t>
  </si>
  <si>
    <t>BOM:532482</t>
  </si>
  <si>
    <t>BOM:543277</t>
  </si>
  <si>
    <t>BOM:500209</t>
  </si>
  <si>
    <t>BOM:543398</t>
  </si>
  <si>
    <t>BOM:532174</t>
  </si>
  <si>
    <t>BOM:543228</t>
  </si>
  <si>
    <t>BOM:543276</t>
  </si>
  <si>
    <t>METROPOLIS</t>
  </si>
  <si>
    <t>GMMPFAUDLR</t>
  </si>
  <si>
    <t>Logistic</t>
  </si>
  <si>
    <t>BOM:540212</t>
  </si>
  <si>
    <t>Ceramics</t>
  </si>
  <si>
    <t>BOM:532443</t>
  </si>
  <si>
    <t>BOM:542907</t>
  </si>
  <si>
    <t>BOM:522205</t>
  </si>
  <si>
    <t>BOM:543428</t>
  </si>
  <si>
    <t>BOM:540902</t>
  </si>
  <si>
    <t>GARFIBRES</t>
  </si>
  <si>
    <t>BOM:543425</t>
  </si>
  <si>
    <t>BOM:502219</t>
  </si>
  <si>
    <t>ORIENTELEC</t>
  </si>
  <si>
    <t>BOM:524226</t>
  </si>
  <si>
    <t>AVANTIFEED</t>
  </si>
  <si>
    <t>BOM:543270</t>
  </si>
  <si>
    <t>BOM:523704</t>
  </si>
  <si>
    <t>BOM:532156</t>
  </si>
  <si>
    <t>packaging</t>
  </si>
  <si>
    <t>BOM:524051</t>
  </si>
  <si>
    <t>BOM:539542</t>
  </si>
  <si>
    <t>BOM:500292</t>
  </si>
  <si>
    <t>BOM:524348</t>
  </si>
  <si>
    <t>BOM:543213</t>
  </si>
  <si>
    <t>BOM:590021</t>
  </si>
  <si>
    <t>BOM:507717</t>
  </si>
  <si>
    <t>Kitchen Appliances</t>
  </si>
  <si>
    <t>BOM:542905</t>
  </si>
  <si>
    <t>BOM:533138</t>
  </si>
  <si>
    <t>BOM:533080</t>
  </si>
  <si>
    <t>BOM:508486</t>
  </si>
  <si>
    <t>BOM:542665</t>
  </si>
  <si>
    <t>ADVENZYMES</t>
  </si>
  <si>
    <t>THYROCARE</t>
  </si>
  <si>
    <t>BOM:540900</t>
  </si>
  <si>
    <t>BOM:507685</t>
  </si>
  <si>
    <t>BOM:532630</t>
  </si>
  <si>
    <t>BOM:543367</t>
  </si>
  <si>
    <t>BOM:531761</t>
  </si>
  <si>
    <t>BOM:500052</t>
  </si>
  <si>
    <t>BOM:543266</t>
  </si>
  <si>
    <t>BOM:526729</t>
  </si>
  <si>
    <t>kitchen</t>
  </si>
  <si>
    <t>BOM:543260</t>
  </si>
  <si>
    <t>BOM:543328</t>
  </si>
  <si>
    <t>CHEMCON</t>
  </si>
  <si>
    <t>DRREDDY</t>
  </si>
  <si>
    <t/>
  </si>
  <si>
    <t>Stock</t>
  </si>
  <si>
    <t>INDUSTRY</t>
  </si>
  <si>
    <t xml:space="preserve">NSE/BSE </t>
  </si>
  <si>
    <t>BEAR MODE 1</t>
  </si>
  <si>
    <t>BEAR MODE 2</t>
  </si>
  <si>
    <t>STOCK STATUS</t>
  </si>
  <si>
    <t>CAP SIZE</t>
  </si>
  <si>
    <t>HCLTECH</t>
  </si>
  <si>
    <t>DMART</t>
  </si>
  <si>
    <t>BOM:543384</t>
  </si>
  <si>
    <t>BOM:500459</t>
  </si>
  <si>
    <t>BOM:543396</t>
  </si>
  <si>
    <t>ASHOKLEY</t>
  </si>
  <si>
    <t>BOM:500251</t>
  </si>
  <si>
    <t>BOM:543390</t>
  </si>
  <si>
    <t>RELAXO</t>
  </si>
  <si>
    <t>BOM:539437</t>
  </si>
  <si>
    <t>BOM:532497</t>
  </si>
  <si>
    <t>BOM:532400</t>
  </si>
  <si>
    <t>BOM:543427</t>
  </si>
  <si>
    <t>BOM:532374</t>
  </si>
  <si>
    <t>BOM:512529</t>
  </si>
  <si>
    <t>TASTYBITE</t>
  </si>
  <si>
    <t>BOM:500570</t>
  </si>
  <si>
    <t>BOM:500655</t>
  </si>
  <si>
    <t>BOM:543264</t>
  </si>
  <si>
    <t>BOM:524091</t>
  </si>
  <si>
    <t>BOM:543336</t>
  </si>
  <si>
    <t>BO:524742</t>
  </si>
  <si>
    <t>BOM:519126</t>
  </si>
  <si>
    <t>BOM:541540</t>
  </si>
  <si>
    <t>BOM:532348</t>
  </si>
  <si>
    <t>BOM:543320</t>
  </si>
  <si>
    <t>BOM:504067</t>
  </si>
  <si>
    <t>BOM:532648</t>
  </si>
  <si>
    <t>Stock Industry &amp; NSE/BSE Code</t>
  </si>
  <si>
    <t>NSE/BSE Code</t>
  </si>
  <si>
    <t>Telecom and oil</t>
  </si>
  <si>
    <t>RELIANCE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</si>
</sst>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2.0"/>
      <color theme="1"/>
      <name val="Poppins"/>
    </font>
    <font>
      <sz val="12.0"/>
      <color rgb="FFFFFFFF"/>
      <name val="Poppins"/>
    </font>
    <font>
      <sz val="12.0"/>
      <color theme="1"/>
      <name val="Poppins"/>
    </font>
    <font>
      <sz val="12.0"/>
      <color rgb="FF000000"/>
      <name val="Poppins"/>
    </font>
    <font>
      <b/>
      <sz val="12.0"/>
      <color theme="1"/>
      <name val="Verdana"/>
    </font>
    <font>
      <sz val="11.0"/>
      <color rgb="FFFFFFFF"/>
      <name val="Verdana"/>
    </font>
    <font>
      <sz val="11.0"/>
      <color theme="1"/>
      <name val="Verdana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  <font>
      <b/>
      <sz val="11.0"/>
      <color theme="1"/>
      <name val="Poppins"/>
    </font>
    <font>
      <sz val="11.0"/>
      <color rgb="FF000000"/>
      <name val="&quot;Google Sans Mono&quot;"/>
    </font>
    <font>
      <sz val="13.0"/>
      <color rgb="FF000000"/>
      <name val="&quot;Google Sans Mono&quot;"/>
    </font>
    <font>
      <b/>
      <sz val="18.0"/>
      <color theme="1"/>
      <name val="Poppins"/>
    </font>
    <font/>
  </fonts>
  <fills count="11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D966"/>
        <bgColor rgb="FFFFD966"/>
      </patternFill>
    </fill>
    <fill>
      <patternFill patternType="solid">
        <fgColor rgb="FF4A86E8"/>
        <bgColor rgb="FF4A86E8"/>
      </patternFill>
    </fill>
    <fill>
      <patternFill patternType="solid">
        <fgColor rgb="FF7EFFCB"/>
        <bgColor rgb="FF7EFFCB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63D297"/>
        <bgColor rgb="FF63D297"/>
      </patternFill>
    </fill>
    <fill>
      <patternFill patternType="solid">
        <fgColor rgb="FFE7F9EF"/>
        <bgColor rgb="FFE7F9EF"/>
      </patternFill>
    </fill>
    <fill>
      <patternFill patternType="solid">
        <fgColor rgb="FFF3F3F3"/>
        <bgColor rgb="FFF3F3F3"/>
      </patternFill>
    </fill>
  </fills>
  <borders count="8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10" xfId="0" applyAlignment="1" applyBorder="1" applyFont="1" applyNumberFormat="1">
      <alignment horizontal="left" shrinkToFit="0" vertical="center" wrapText="1"/>
    </xf>
    <xf borderId="0" fillId="0" fontId="1" numFmtId="10" xfId="0" applyAlignment="1" applyFont="1" applyNumberFormat="1">
      <alignment horizontal="left" shrinkToFit="0" vertical="center" wrapText="1"/>
    </xf>
    <xf borderId="3" fillId="2" fontId="2" numFmtId="0" xfId="0" applyAlignment="1" applyBorder="1" applyFill="1" applyFont="1">
      <alignment horizontal="left" shrinkToFit="0" vertical="center" wrapText="1"/>
    </xf>
    <xf borderId="4" fillId="0" fontId="3" numFmtId="2" xfId="0" applyAlignment="1" applyBorder="1" applyFont="1" applyNumberFormat="1">
      <alignment horizontal="left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2" fillId="0" fontId="3" numFmtId="10" xfId="0" applyAlignment="1" applyBorder="1" applyFont="1" applyNumberFormat="1">
      <alignment horizontal="left" shrinkToFit="0" vertical="center" wrapText="1"/>
    </xf>
    <xf borderId="0" fillId="0" fontId="3" numFmtId="10" xfId="0" applyAlignment="1" applyFont="1" applyNumberFormat="1">
      <alignment horizontal="left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4" fillId="0" fontId="3" numFmtId="2" xfId="0" applyAlignment="1" applyBorder="1" applyFont="1" applyNumberFormat="1">
      <alignment horizontal="left" readingOrder="0" shrinkToFit="0" vertical="center" wrapText="1"/>
    </xf>
    <xf borderId="2" fillId="0" fontId="3" numFmtId="10" xfId="0" applyAlignment="1" applyBorder="1" applyFont="1" applyNumberFormat="1">
      <alignment horizontal="left" readingOrder="0" shrinkToFit="0" vertical="center" wrapText="1"/>
    </xf>
    <xf borderId="0" fillId="0" fontId="3" numFmtId="10" xfId="0" applyAlignment="1" applyFont="1" applyNumberFormat="1">
      <alignment horizontal="left" readingOrder="0" shrinkToFit="0" vertical="center" wrapText="1"/>
    </xf>
    <xf borderId="0" fillId="2" fontId="2" numFmtId="0" xfId="0" applyAlignment="1" applyFont="1">
      <alignment horizontal="left" shrinkToFit="0" vertical="center" wrapText="1"/>
    </xf>
    <xf borderId="0" fillId="0" fontId="3" numFmtId="2" xfId="0" applyAlignment="1" applyFont="1" applyNumberForma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3" fontId="5" numFmtId="0" xfId="0" applyAlignment="1" applyFill="1" applyFont="1">
      <alignment horizontal="center" shrinkToFit="0" vertical="center" wrapText="1"/>
    </xf>
    <xf borderId="5" fillId="2" fontId="6" numFmtId="0" xfId="0" applyBorder="1" applyFont="1"/>
    <xf borderId="0" fillId="0" fontId="7" numFmtId="2" xfId="0" applyFont="1" applyNumberFormat="1"/>
    <xf borderId="0" fillId="4" fontId="6" numFmtId="0" xfId="0" applyFill="1" applyFont="1"/>
    <xf borderId="0" fillId="0" fontId="7" numFmtId="0" xfId="0" applyFont="1"/>
    <xf borderId="0" fillId="5" fontId="7" numFmtId="0" xfId="0" applyFill="1" applyFont="1"/>
    <xf borderId="0" fillId="0" fontId="7" numFmtId="10" xfId="0" applyFont="1" applyNumberFormat="1"/>
    <xf borderId="0" fillId="0" fontId="8" numFmtId="0" xfId="0" applyFont="1"/>
    <xf borderId="0" fillId="0" fontId="8" numFmtId="0" xfId="0" applyAlignment="1" applyFont="1">
      <alignment readingOrder="0"/>
    </xf>
    <xf borderId="0" fillId="0" fontId="9" numFmtId="0" xfId="0" applyFont="1"/>
    <xf borderId="0" fillId="0" fontId="9" numFmtId="2" xfId="0" applyFont="1" applyNumberFormat="1"/>
    <xf borderId="0" fillId="0" fontId="9" numFmtId="10" xfId="0" applyFont="1" applyNumberFormat="1"/>
    <xf borderId="0" fillId="6" fontId="10" numFmtId="0" xfId="0" applyFill="1" applyFont="1"/>
    <xf borderId="1" fillId="3" fontId="1" numFmtId="0" xfId="0" applyAlignment="1" applyBorder="1" applyFont="1">
      <alignment horizontal="left" readingOrder="0" shrinkToFit="0" vertical="center" wrapText="1"/>
    </xf>
    <xf borderId="2" fillId="3" fontId="1" numFmtId="10" xfId="0" applyAlignment="1" applyBorder="1" applyFont="1" applyNumberFormat="1">
      <alignment horizontal="left" shrinkToFit="0" vertical="center" wrapText="1"/>
    </xf>
    <xf borderId="0" fillId="3" fontId="1" numFmtId="0" xfId="0" applyAlignment="1" applyFont="1">
      <alignment horizontal="left" readingOrder="0" shrinkToFit="0" vertical="center" wrapText="1"/>
    </xf>
    <xf borderId="0" fillId="3" fontId="11" numFmtId="0" xfId="0" applyAlignment="1" applyFont="1">
      <alignment horizontal="left" readingOrder="0" shrinkToFit="0" vertical="center" wrapText="1"/>
    </xf>
    <xf borderId="4" fillId="6" fontId="3" numFmtId="2" xfId="0" applyAlignment="1" applyBorder="1" applyFont="1" applyNumberFormat="1">
      <alignment horizontal="left" shrinkToFit="0" vertical="center" wrapText="1"/>
    </xf>
    <xf borderId="2" fillId="6" fontId="3" numFmtId="0" xfId="0" applyAlignment="1" applyBorder="1" applyFont="1">
      <alignment horizontal="left" shrinkToFit="0" vertical="center" wrapText="1"/>
    </xf>
    <xf borderId="2" fillId="6" fontId="3" numFmtId="10" xfId="0" applyAlignment="1" applyBorder="1" applyFont="1" applyNumberFormat="1">
      <alignment horizontal="left" shrinkToFit="0" vertical="center" wrapText="1"/>
    </xf>
    <xf borderId="0" fillId="6" fontId="3" numFmtId="0" xfId="0" applyAlignment="1" applyFont="1">
      <alignment horizontal="left" shrinkToFit="0" vertical="center" wrapText="1"/>
    </xf>
    <xf borderId="0" fillId="6" fontId="12" numFmtId="0" xfId="0" applyFont="1"/>
    <xf borderId="0" fillId="6" fontId="13" numFmtId="0" xfId="0" applyFont="1"/>
    <xf borderId="0" fillId="6" fontId="12" numFmtId="0" xfId="0" applyFont="1"/>
    <xf borderId="4" fillId="7" fontId="3" numFmtId="2" xfId="0" applyAlignment="1" applyBorder="1" applyFill="1" applyFont="1" applyNumberFormat="1">
      <alignment horizontal="left" shrinkToFit="0" vertical="center" wrapText="1"/>
    </xf>
    <xf borderId="2" fillId="7" fontId="4" numFmtId="0" xfId="0" applyAlignment="1" applyBorder="1" applyFont="1">
      <alignment horizontal="left" readingOrder="0" shrinkToFit="0" vertical="center" wrapText="1"/>
    </xf>
    <xf borderId="2" fillId="7" fontId="3" numFmtId="0" xfId="0" applyAlignment="1" applyBorder="1" applyFont="1">
      <alignment horizontal="left" shrinkToFit="0" vertical="center" wrapText="1"/>
    </xf>
    <xf borderId="2" fillId="7" fontId="3" numFmtId="10" xfId="0" applyAlignment="1" applyBorder="1" applyFont="1" applyNumberFormat="1">
      <alignment horizontal="left" shrinkToFit="0" vertical="center" wrapText="1"/>
    </xf>
    <xf borderId="0" fillId="7" fontId="3" numFmtId="0" xfId="0" applyAlignment="1" applyFont="1">
      <alignment horizontal="left" shrinkToFit="0" vertical="center" wrapText="1"/>
    </xf>
    <xf borderId="2" fillId="7" fontId="3" numFmtId="0" xfId="0" applyAlignment="1" applyBorder="1" applyFont="1">
      <alignment horizontal="left" readingOrder="0" shrinkToFit="0" vertical="center" wrapText="1"/>
    </xf>
    <xf borderId="0" fillId="7" fontId="3" numFmtId="0" xfId="0" applyAlignment="1" applyFont="1">
      <alignment horizontal="left" readingOrder="0" shrinkToFit="0" vertical="center" wrapText="1"/>
    </xf>
    <xf borderId="0" fillId="7" fontId="3" numFmtId="0" xfId="0" applyAlignment="1" applyFont="1">
      <alignment horizontal="left" readingOrder="0" shrinkToFit="0" vertical="center" wrapText="1"/>
    </xf>
    <xf borderId="2" fillId="6" fontId="3" numFmtId="0" xfId="0" applyAlignment="1" applyBorder="1" applyFont="1">
      <alignment horizontal="left" readingOrder="0" shrinkToFit="0" vertical="center" wrapText="1"/>
    </xf>
    <xf borderId="0" fillId="7" fontId="9" numFmtId="0" xfId="0" applyFont="1"/>
    <xf borderId="4" fillId="6" fontId="3" numFmtId="2" xfId="0" applyAlignment="1" applyBorder="1" applyFont="1" applyNumberFormat="1">
      <alignment horizontal="left" readingOrder="0" shrinkToFit="0" vertical="center" wrapText="1"/>
    </xf>
    <xf borderId="2" fillId="6" fontId="3" numFmtId="10" xfId="0" applyAlignment="1" applyBorder="1" applyFont="1" applyNumberFormat="1">
      <alignment horizontal="left" readingOrder="0" shrinkToFit="0" vertical="center" wrapText="1"/>
    </xf>
    <xf borderId="0" fillId="6" fontId="3" numFmtId="0" xfId="0" applyAlignment="1" applyFont="1">
      <alignment horizontal="left" readingOrder="0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2" fillId="8" fontId="3" numFmtId="0" xfId="0" applyAlignment="1" applyBorder="1" applyFill="1" applyFont="1">
      <alignment horizontal="left" shrinkToFit="0" vertical="center" wrapText="1"/>
    </xf>
    <xf borderId="2" fillId="9" fontId="3" numFmtId="0" xfId="0" applyAlignment="1" applyBorder="1" applyFill="1" applyFont="1">
      <alignment horizontal="left" shrinkToFit="0" vertical="center" wrapText="1"/>
    </xf>
    <xf borderId="6" fillId="8" fontId="14" numFmtId="0" xfId="0" applyAlignment="1" applyBorder="1" applyFont="1">
      <alignment horizontal="center" readingOrder="0" shrinkToFit="0" vertical="center" wrapText="1"/>
    </xf>
    <xf borderId="7" fillId="9" fontId="15" numFmtId="0" xfId="0" applyBorder="1" applyFont="1"/>
    <xf borderId="4" fillId="9" fontId="15" numFmtId="0" xfId="0" applyBorder="1" applyFont="1"/>
    <xf borderId="2" fillId="6" fontId="1" numFmtId="0" xfId="0" applyAlignment="1" applyBorder="1" applyFont="1">
      <alignment horizontal="center" shrinkToFit="0" vertical="center" wrapText="1"/>
    </xf>
    <xf borderId="2" fillId="10" fontId="1" numFmtId="0" xfId="0" applyAlignment="1" applyBorder="1" applyFill="1" applyFont="1">
      <alignment horizontal="left" shrinkToFit="0" vertical="center" wrapText="1"/>
    </xf>
    <xf borderId="0" fillId="0" fontId="9" numFmtId="0" xfId="0" applyAlignment="1" applyFont="1">
      <alignment horizontal="left"/>
    </xf>
  </cellXfs>
  <cellStyles count="1">
    <cellStyle xfId="0" name="Normal" builtinId="0"/>
  </cellStyles>
  <dxfs count="14">
    <dxf>
      <font/>
      <fill>
        <patternFill patternType="solid">
          <fgColor rgb="FFFF6262"/>
          <bgColor rgb="FFFF6262"/>
        </patternFill>
      </fill>
      <border/>
    </dxf>
    <dxf>
      <font/>
      <fill>
        <patternFill patternType="solid">
          <fgColor rgb="FF8DFF8A"/>
          <bgColor rgb="FF8DFF8A"/>
        </patternFill>
      </fill>
      <border/>
    </dxf>
    <dxf>
      <font>
        <color rgb="FFFFFFFF"/>
      </font>
      <fill>
        <patternFill patternType="solid">
          <fgColor rgb="FF1155CC"/>
          <bgColor rgb="FF1155CC"/>
        </patternFill>
      </fill>
      <border/>
    </dxf>
    <dxf>
      <font/>
      <fill>
        <patternFill patternType="solid">
          <fgColor rgb="FF7EFFCB"/>
          <bgColor rgb="FF7EFFCB"/>
        </patternFill>
      </fill>
      <border/>
    </dxf>
    <dxf>
      <font/>
      <fill>
        <patternFill patternType="solid">
          <fgColor rgb="FFFF7A7A"/>
          <bgColor rgb="FFFF7A7A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>
        <color theme="1"/>
      </font>
      <fill>
        <patternFill patternType="solid">
          <fgColor rgb="FFE39E64"/>
          <bgColor rgb="FFE39E64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>
        <color rgb="FF000000"/>
      </font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EF1F1F"/>
          <bgColor rgb="FFEF1F1F"/>
        </patternFill>
      </fill>
      <border/>
    </dxf>
    <dxf>
      <font/>
      <fill>
        <patternFill patternType="solid">
          <fgColor rgb="FF63D297"/>
          <bgColor rgb="FF63D297"/>
        </patternFill>
      </fill>
      <border/>
    </dxf>
  </dxfs>
  <tableStyles count="1">
    <tableStyle count="3" pivot="0" name="Data Set-style">
      <tableStyleElement dxfId="6" type="headerRow"/>
      <tableStyleElement dxfId="7" type="firstRowStripe"/>
      <tableStyleElement dxfId="8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J1217" displayName="Table_1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Data Se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0.0" topLeftCell="K1" activePane="topRight" state="frozen"/>
      <selection activeCell="L2" sqref="L2" pane="topRight"/>
    </sheetView>
  </sheetViews>
  <sheetFormatPr customHeight="1" defaultColWidth="12.63" defaultRowHeight="15.75"/>
  <cols>
    <col customWidth="1" min="1" max="1" width="24.38"/>
    <col customWidth="1" min="2" max="2" width="17.0"/>
    <col customWidth="1" min="6" max="6" width="12.88"/>
    <col customWidth="1" min="9" max="9" width="14.75"/>
    <col customWidth="1" min="10" max="10" width="20.63"/>
    <col customWidth="1" min="11" max="11" width="28.0"/>
    <col customWidth="1" min="12" max="29" width="19.63"/>
  </cols>
  <sheetData>
    <row r="1" ht="42.75" customHeight="1">
      <c r="A1" s="1">
        <v>21.0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9</v>
      </c>
      <c r="B2" s="5">
        <v>1234544.5174748</v>
      </c>
      <c r="C2" s="6">
        <v>3374.2</v>
      </c>
      <c r="D2" s="7">
        <v>30.43</v>
      </c>
      <c r="E2" s="7">
        <v>4045.5</v>
      </c>
      <c r="F2" s="8">
        <v>0.1659374613768385</v>
      </c>
      <c r="G2" s="7">
        <v>2926.0</v>
      </c>
      <c r="H2" s="8">
        <v>0.15317840054682152</v>
      </c>
      <c r="I2" s="7">
        <v>3334.6</v>
      </c>
      <c r="J2" s="8">
        <v>0.01187548731482034</v>
      </c>
      <c r="K2" s="9"/>
      <c r="L2" s="9"/>
      <c r="M2" s="9"/>
      <c r="N2" s="9"/>
      <c r="O2" s="9"/>
      <c r="P2" s="9"/>
      <c r="Q2" s="9"/>
      <c r="R2" s="9"/>
      <c r="S2" s="9" t="str">
        <f>VLOOKUP(A2,D2:D22,2,FALSE)</f>
        <v>#REF!</v>
      </c>
      <c r="T2" s="9"/>
      <c r="U2" s="9"/>
      <c r="V2" s="9"/>
      <c r="W2" s="9"/>
      <c r="X2" s="9"/>
      <c r="Y2" s="9" t="str">
        <f>VLOOKUP(A2)</f>
        <v>#N/A</v>
      </c>
      <c r="Z2" s="9"/>
      <c r="AA2" s="9"/>
      <c r="AB2" s="9"/>
      <c r="AC2" s="9"/>
    </row>
    <row r="3">
      <c r="A3" s="4" t="s">
        <v>10</v>
      </c>
      <c r="B3" s="5">
        <v>616301.326875</v>
      </c>
      <c r="C3" s="7">
        <v>2620.6</v>
      </c>
      <c r="D3" s="7">
        <v>63.81</v>
      </c>
      <c r="E3" s="7">
        <v>2741.6</v>
      </c>
      <c r="F3" s="8">
        <v>0.0441348117887365</v>
      </c>
      <c r="G3" s="7">
        <v>1901.55</v>
      </c>
      <c r="H3" s="8">
        <v>0.37813888669769397</v>
      </c>
      <c r="I3" s="7">
        <v>2590.05</v>
      </c>
      <c r="J3" s="8">
        <v>0.011795139089978852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>
      <c r="A4" s="4" t="s">
        <v>11</v>
      </c>
      <c r="B4" s="5">
        <v>441027.3972459</v>
      </c>
      <c r="C4" s="7">
        <v>764.6</v>
      </c>
      <c r="D4" s="7">
        <v>65.86</v>
      </c>
      <c r="E4" s="7">
        <v>860.55</v>
      </c>
      <c r="F4" s="8">
        <v>0.11149846028702566</v>
      </c>
      <c r="G4" s="7">
        <v>628.75</v>
      </c>
      <c r="H4" s="8">
        <v>0.2160636182902585</v>
      </c>
      <c r="I4" s="7">
        <v>756.9</v>
      </c>
      <c r="J4" s="8">
        <v>0.010173074382349117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>
      <c r="A5" s="4" t="s">
        <v>12</v>
      </c>
      <c r="B5" s="5">
        <v>361172.6351402</v>
      </c>
      <c r="C5" s="7">
        <v>5977.0</v>
      </c>
      <c r="D5" s="7">
        <v>36.52</v>
      </c>
      <c r="E5" s="7">
        <v>8045.0</v>
      </c>
      <c r="F5" s="8">
        <v>0.25705407085146054</v>
      </c>
      <c r="G5" s="7">
        <v>5220.0</v>
      </c>
      <c r="H5" s="8">
        <v>0.1450191570881226</v>
      </c>
      <c r="I5" s="7">
        <v>5898.4</v>
      </c>
      <c r="J5" s="8">
        <v>0.013325647633256539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>
      <c r="A6" s="4" t="s">
        <v>13</v>
      </c>
      <c r="B6" s="5">
        <v>278960.0995659</v>
      </c>
      <c r="C6" s="7">
        <v>2912.0</v>
      </c>
      <c r="D6" s="7">
        <v>76.19</v>
      </c>
      <c r="E6" s="7">
        <v>3582.9</v>
      </c>
      <c r="F6" s="8">
        <v>0.18725055122945103</v>
      </c>
      <c r="G6" s="7">
        <v>2560.0</v>
      </c>
      <c r="H6" s="8">
        <v>0.1375</v>
      </c>
      <c r="I6" s="7">
        <v>2915.95</v>
      </c>
      <c r="J6" s="8">
        <v>-0.0013546185634183776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>
      <c r="A7" s="4" t="s">
        <v>14</v>
      </c>
      <c r="B7" s="5">
        <v>291770.1146186</v>
      </c>
      <c r="C7" s="7">
        <v>1077.0</v>
      </c>
      <c r="D7" s="10" t="s">
        <v>15</v>
      </c>
      <c r="E7" s="7">
        <v>1359.4</v>
      </c>
      <c r="F7" s="8">
        <v>0.20773870825364135</v>
      </c>
      <c r="G7" s="7">
        <v>877.35</v>
      </c>
      <c r="H7" s="8">
        <v>0.22756026671225849</v>
      </c>
      <c r="I7" s="7">
        <v>1071.65</v>
      </c>
      <c r="J7" s="8">
        <v>0.00499230159100444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>
      <c r="A8" s="4" t="s">
        <v>16</v>
      </c>
      <c r="B8" s="5">
        <v>255438.4185926</v>
      </c>
      <c r="C8" s="7">
        <v>8454.2</v>
      </c>
      <c r="D8" s="7">
        <v>42.1</v>
      </c>
      <c r="E8" s="7">
        <v>9769.0</v>
      </c>
      <c r="F8" s="8">
        <v>0.13458900603951268</v>
      </c>
      <c r="G8" s="7">
        <v>6536.55</v>
      </c>
      <c r="H8" s="8">
        <v>0.2933734156397489</v>
      </c>
      <c r="I8" s="7">
        <v>8369.2</v>
      </c>
      <c r="J8" s="8">
        <v>0.010156287339291688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>
      <c r="A9" s="4" t="s">
        <v>17</v>
      </c>
      <c r="B9" s="5">
        <v>250157.9350853</v>
      </c>
      <c r="C9" s="7">
        <v>3855.0</v>
      </c>
      <c r="D9" s="7">
        <v>109.05</v>
      </c>
      <c r="E9" s="7">
        <v>4609.0</v>
      </c>
      <c r="F9" s="8">
        <v>0.16359297027554784</v>
      </c>
      <c r="G9" s="7">
        <v>3186.0</v>
      </c>
      <c r="H9" s="8">
        <v>0.20998116760828625</v>
      </c>
      <c r="I9" s="7">
        <v>3911.8</v>
      </c>
      <c r="J9" s="8">
        <v>-0.014520169742829435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>
      <c r="A10" s="4" t="s">
        <v>18</v>
      </c>
      <c r="B10" s="5">
        <v>302617.166625</v>
      </c>
      <c r="C10" s="7">
        <v>2153.75</v>
      </c>
      <c r="D10" s="7">
        <v>31.53</v>
      </c>
      <c r="E10" s="7">
        <v>2210.5</v>
      </c>
      <c r="F10" s="8">
        <v>0.025672924677674736</v>
      </c>
      <c r="G10" s="7">
        <v>1456.8</v>
      </c>
      <c r="H10" s="8">
        <v>0.4784115870400879</v>
      </c>
      <c r="I10" s="7">
        <v>2160.2</v>
      </c>
      <c r="J10" s="8">
        <v>-0.0029858346449401995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>
      <c r="A11" s="4" t="s">
        <v>19</v>
      </c>
      <c r="B11" s="5">
        <v>221292.5064376</v>
      </c>
      <c r="C11" s="7">
        <v>1391.0</v>
      </c>
      <c r="D11" s="7">
        <v>40.48</v>
      </c>
      <c r="E11" s="7">
        <v>3724.2</v>
      </c>
      <c r="F11" s="8">
        <v>0.6264969657913109</v>
      </c>
      <c r="G11" s="7">
        <v>1374.35</v>
      </c>
      <c r="H11" s="8">
        <v>0.012114817913923012</v>
      </c>
      <c r="I11" s="7">
        <v>1387.8</v>
      </c>
      <c r="J11" s="8">
        <v>0.002305807753278603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>
      <c r="A12" s="4" t="s">
        <v>20</v>
      </c>
      <c r="B12" s="5">
        <v>190752.2</v>
      </c>
      <c r="C12" s="7">
        <v>19782.3</v>
      </c>
      <c r="D12" s="7">
        <v>88.1</v>
      </c>
      <c r="E12" s="7">
        <v>21050.0</v>
      </c>
      <c r="F12" s="8">
        <v>0.060223277909738755</v>
      </c>
      <c r="G12" s="7">
        <v>16000.0</v>
      </c>
      <c r="H12" s="8">
        <v>0.23639374999999996</v>
      </c>
      <c r="I12" s="7">
        <v>19873.25</v>
      </c>
      <c r="J12" s="8">
        <v>-0.004576503591511238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>
      <c r="A13" s="4" t="s">
        <v>21</v>
      </c>
      <c r="B13" s="5">
        <v>208975.8</v>
      </c>
      <c r="C13" s="7">
        <v>7244.95</v>
      </c>
      <c r="D13" s="7">
        <v>31.35</v>
      </c>
      <c r="E13" s="7">
        <v>7946.0</v>
      </c>
      <c r="F13" s="8">
        <v>0.08822678077019887</v>
      </c>
      <c r="G13" s="7">
        <v>5157.05</v>
      </c>
      <c r="H13" s="8">
        <v>0.4048632454600982</v>
      </c>
      <c r="I13" s="7">
        <v>7153.35</v>
      </c>
      <c r="J13" s="8">
        <v>0.012805189177098764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>
      <c r="A14" s="4" t="s">
        <v>22</v>
      </c>
      <c r="B14" s="5">
        <v>158785.3716893</v>
      </c>
      <c r="C14" s="7">
        <v>1327.55</v>
      </c>
      <c r="D14" s="7">
        <v>16.12</v>
      </c>
      <c r="E14" s="7">
        <v>1366.55</v>
      </c>
      <c r="F14" s="8">
        <v>0.028539021623797154</v>
      </c>
      <c r="G14" s="7">
        <v>671.15</v>
      </c>
      <c r="H14" s="8">
        <v>0.9780227966922447</v>
      </c>
      <c r="I14" s="7">
        <v>1319.9</v>
      </c>
      <c r="J14" s="8">
        <v>0.005795893628305071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>
      <c r="A15" s="4" t="s">
        <v>23</v>
      </c>
      <c r="B15" s="5">
        <v>101964.8629622</v>
      </c>
      <c r="C15" s="7">
        <v>3602.45</v>
      </c>
      <c r="D15" s="7">
        <v>17.79</v>
      </c>
      <c r="E15" s="7">
        <v>4131.75</v>
      </c>
      <c r="F15" s="8">
        <v>0.12810552429358024</v>
      </c>
      <c r="G15" s="7">
        <v>3125.0</v>
      </c>
      <c r="H15" s="8">
        <v>0.15278399999999995</v>
      </c>
      <c r="I15" s="7">
        <v>3570.3</v>
      </c>
      <c r="J15" s="8">
        <v>0.009004845531187753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>
      <c r="A16" s="4" t="s">
        <v>24</v>
      </c>
      <c r="B16" s="5">
        <v>127340.0</v>
      </c>
      <c r="C16" s="7">
        <v>2513.0</v>
      </c>
      <c r="D16" s="7">
        <v>98.38</v>
      </c>
      <c r="E16" s="7">
        <v>2918.95</v>
      </c>
      <c r="F16" s="8">
        <v>0.13907398208259814</v>
      </c>
      <c r="G16" s="7">
        <v>1988.55</v>
      </c>
      <c r="H16" s="8">
        <v>0.26373488220059843</v>
      </c>
      <c r="I16" s="7">
        <v>2495.5</v>
      </c>
      <c r="J16" s="8">
        <v>0.0070126227208976155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>
      <c r="A17" s="4" t="s">
        <v>25</v>
      </c>
      <c r="B17" s="5">
        <v>130568.986925</v>
      </c>
      <c r="C17" s="7">
        <v>1307.0</v>
      </c>
      <c r="D17" s="7">
        <v>78.07</v>
      </c>
      <c r="E17" s="7">
        <v>1340.35</v>
      </c>
      <c r="F17" s="8">
        <v>0.024881560786361705</v>
      </c>
      <c r="G17" s="7">
        <v>1003.5</v>
      </c>
      <c r="H17" s="8">
        <v>0.3024414549078226</v>
      </c>
      <c r="I17" s="7">
        <v>1315.7</v>
      </c>
      <c r="J17" s="8">
        <v>-0.006612449646576001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>
      <c r="A18" s="4" t="s">
        <v>26</v>
      </c>
      <c r="B18" s="5">
        <v>147293.6037181</v>
      </c>
      <c r="C18" s="7">
        <v>120.45</v>
      </c>
      <c r="D18" s="7">
        <v>5.13</v>
      </c>
      <c r="E18" s="7">
        <v>138.63</v>
      </c>
      <c r="F18" s="8">
        <v>0.1311404457909543</v>
      </c>
      <c r="G18" s="7">
        <v>82.71</v>
      </c>
      <c r="H18" s="8">
        <v>0.45629307217990583</v>
      </c>
      <c r="I18" s="7">
        <v>118.05</v>
      </c>
      <c r="J18" s="8">
        <v>0.020330368487928893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>
      <c r="A19" s="4" t="s">
        <v>27</v>
      </c>
      <c r="B19" s="5">
        <v>88977.11</v>
      </c>
      <c r="C19" s="7">
        <v>3352.15</v>
      </c>
      <c r="D19" s="7">
        <v>29.74</v>
      </c>
      <c r="E19" s="7">
        <v>4668.0</v>
      </c>
      <c r="F19" s="8">
        <v>0.28188731790916877</v>
      </c>
      <c r="G19" s="7">
        <v>3195.15</v>
      </c>
      <c r="H19" s="8">
        <v>0.049136973225044206</v>
      </c>
      <c r="I19" s="7">
        <v>3305.3</v>
      </c>
      <c r="J19" s="8">
        <v>0.014174205064593201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>
      <c r="A20" s="4" t="s">
        <v>28</v>
      </c>
      <c r="B20" s="5">
        <v>97631.0184537</v>
      </c>
      <c r="C20" s="7">
        <v>1002.8</v>
      </c>
      <c r="D20" s="7">
        <v>16.8</v>
      </c>
      <c r="E20" s="7">
        <v>1751.0</v>
      </c>
      <c r="F20" s="8">
        <v>0.42729868646487723</v>
      </c>
      <c r="G20" s="7">
        <v>943.7</v>
      </c>
      <c r="H20" s="8">
        <v>0.06262583448129692</v>
      </c>
      <c r="I20" s="7">
        <v>1001.55</v>
      </c>
      <c r="J20" s="8">
        <v>0.0012480654984773601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>
      <c r="A21" s="4" t="s">
        <v>29</v>
      </c>
      <c r="B21" s="5">
        <v>96383.9372552</v>
      </c>
      <c r="C21" s="7">
        <v>544.0</v>
      </c>
      <c r="D21" s="7">
        <v>55.79</v>
      </c>
      <c r="E21" s="7">
        <v>610.75</v>
      </c>
      <c r="F21" s="8">
        <v>0.10929185427752763</v>
      </c>
      <c r="G21" s="7">
        <v>482.25</v>
      </c>
      <c r="H21" s="8">
        <v>0.12804561949196475</v>
      </c>
      <c r="I21" s="7">
        <v>544.95</v>
      </c>
      <c r="J21" s="8">
        <v>-0.0017432791999266821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>
      <c r="A22" s="4" t="s">
        <v>30</v>
      </c>
      <c r="B22" s="5">
        <v>104442.9</v>
      </c>
      <c r="C22" s="7">
        <v>4328.0</v>
      </c>
      <c r="D22" s="7">
        <v>65.9</v>
      </c>
      <c r="E22" s="7">
        <v>4537.0</v>
      </c>
      <c r="F22" s="8">
        <v>0.046065682168834034</v>
      </c>
      <c r="G22" s="7">
        <v>3050.0</v>
      </c>
      <c r="H22" s="8">
        <v>0.4190163934426229</v>
      </c>
      <c r="I22" s="7">
        <v>4299.25</v>
      </c>
      <c r="J22" s="8">
        <v>0.006687212885968483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>
      <c r="A23" s="4" t="s">
        <v>31</v>
      </c>
      <c r="B23" s="5">
        <v>86543.2296232</v>
      </c>
      <c r="C23" s="7">
        <v>3164.9</v>
      </c>
      <c r="D23" s="7">
        <v>37.12</v>
      </c>
      <c r="E23" s="7">
        <v>3889.65</v>
      </c>
      <c r="F23" s="8">
        <v>0.18632781869834047</v>
      </c>
      <c r="G23" s="7">
        <v>2159.55</v>
      </c>
      <c r="H23" s="8">
        <v>0.4655368016484915</v>
      </c>
      <c r="I23" s="7">
        <v>3103.25</v>
      </c>
      <c r="J23" s="8">
        <v>0.019866269233867747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>
      <c r="A24" s="4" t="s">
        <v>32</v>
      </c>
      <c r="B24" s="5">
        <v>86182.29</v>
      </c>
      <c r="C24" s="7">
        <v>1068.85</v>
      </c>
      <c r="D24" s="7">
        <v>33.64</v>
      </c>
      <c r="E24" s="7">
        <v>1185.25</v>
      </c>
      <c r="F24" s="8">
        <v>0.09820712929761662</v>
      </c>
      <c r="G24" s="7">
        <v>860.0</v>
      </c>
      <c r="H24" s="8">
        <v>0.24284883720930223</v>
      </c>
      <c r="I24" s="7">
        <v>1061.15</v>
      </c>
      <c r="J24" s="8">
        <v>0.007256278565706844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>
      <c r="A25" s="4" t="s">
        <v>33</v>
      </c>
      <c r="B25" s="5">
        <v>102995.3567038</v>
      </c>
      <c r="C25" s="7">
        <v>518.7</v>
      </c>
      <c r="D25" s="7">
        <v>57.36</v>
      </c>
      <c r="E25" s="7">
        <v>598.15</v>
      </c>
      <c r="F25" s="8">
        <v>0.13282621416032755</v>
      </c>
      <c r="G25" s="7">
        <v>274.0</v>
      </c>
      <c r="H25" s="8">
        <v>0.8930656934306571</v>
      </c>
      <c r="I25" s="7">
        <v>510.4</v>
      </c>
      <c r="J25" s="8">
        <v>0.01626175548589355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>
      <c r="A26" s="4" t="s">
        <v>34</v>
      </c>
      <c r="B26" s="5">
        <v>74336.7630665</v>
      </c>
      <c r="C26" s="7">
        <v>786.05</v>
      </c>
      <c r="D26" s="7">
        <v>35.28</v>
      </c>
      <c r="E26" s="7">
        <v>1028.65</v>
      </c>
      <c r="F26" s="8">
        <v>0.2358430953191077</v>
      </c>
      <c r="G26" s="7">
        <v>655.7</v>
      </c>
      <c r="H26" s="8">
        <v>0.1987951807228914</v>
      </c>
      <c r="I26" s="7">
        <v>780.25</v>
      </c>
      <c r="J26" s="8">
        <v>0.007433514899070752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>
      <c r="A27" s="4" t="s">
        <v>35</v>
      </c>
      <c r="B27" s="5">
        <v>126813.4</v>
      </c>
      <c r="C27" s="7">
        <v>4289.8</v>
      </c>
      <c r="D27" s="7">
        <v>34.73</v>
      </c>
      <c r="E27" s="7">
        <v>4293.25</v>
      </c>
      <c r="F27" s="8">
        <v>8.035870261456514E-4</v>
      </c>
      <c r="G27" s="7">
        <v>4147.45</v>
      </c>
      <c r="H27" s="8">
        <v>0.03432229442187377</v>
      </c>
      <c r="I27" s="7">
        <v>4279.2</v>
      </c>
      <c r="J27" s="8">
        <v>0.0024770985230885127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>
      <c r="A28" s="4" t="s">
        <v>36</v>
      </c>
      <c r="B28" s="5">
        <v>73418.66784</v>
      </c>
      <c r="C28" s="7">
        <v>1167.55</v>
      </c>
      <c r="D28" s="7">
        <v>67.24</v>
      </c>
      <c r="E28" s="7">
        <v>1405.55</v>
      </c>
      <c r="F28" s="8">
        <v>0.16932873252463448</v>
      </c>
      <c r="G28" s="7">
        <v>1024.5</v>
      </c>
      <c r="H28" s="8">
        <v>0.1396290873596876</v>
      </c>
      <c r="I28" s="7">
        <v>1192.6</v>
      </c>
      <c r="J28" s="8">
        <v>-0.021004527922186784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>
      <c r="A29" s="4" t="s">
        <v>37</v>
      </c>
      <c r="B29" s="5">
        <v>42070.7692196</v>
      </c>
      <c r="C29" s="7">
        <v>147.6</v>
      </c>
      <c r="D29" s="7">
        <v>918.2</v>
      </c>
      <c r="E29" s="7">
        <v>348.0</v>
      </c>
      <c r="F29" s="8">
        <v>0.5758620689655173</v>
      </c>
      <c r="G29" s="7">
        <v>139.35</v>
      </c>
      <c r="H29" s="8">
        <v>0.059203444564047365</v>
      </c>
      <c r="I29" s="7">
        <v>149.75</v>
      </c>
      <c r="J29" s="8">
        <v>-0.014357262103505882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>
      <c r="A30" s="4" t="s">
        <v>38</v>
      </c>
      <c r="B30" s="5">
        <v>69898.9623697</v>
      </c>
      <c r="C30" s="7">
        <v>752.8</v>
      </c>
      <c r="D30" s="7">
        <v>65.04</v>
      </c>
      <c r="E30" s="7">
        <v>861.15</v>
      </c>
      <c r="F30" s="8">
        <v>0.12582012425245315</v>
      </c>
      <c r="G30" s="7">
        <v>650.2</v>
      </c>
      <c r="H30" s="8">
        <v>0.15779760073823423</v>
      </c>
      <c r="I30" s="7">
        <v>754.25</v>
      </c>
      <c r="J30" s="8">
        <v>-0.0019224395094465303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>
      <c r="A31" s="4" t="s">
        <v>39</v>
      </c>
      <c r="B31" s="5">
        <v>66015.7769553</v>
      </c>
      <c r="C31" s="7">
        <v>206.55</v>
      </c>
      <c r="D31" s="7">
        <v>25.89</v>
      </c>
      <c r="E31" s="7">
        <v>298.0</v>
      </c>
      <c r="F31" s="8">
        <v>0.30687919463087243</v>
      </c>
      <c r="G31" s="7">
        <v>190.0</v>
      </c>
      <c r="H31" s="8">
        <v>0.0871052631578948</v>
      </c>
      <c r="I31" s="7">
        <v>205.65</v>
      </c>
      <c r="J31" s="8">
        <v>0.0043763676148796775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>
      <c r="A32" s="4" t="s">
        <v>40</v>
      </c>
      <c r="B32" s="5">
        <v>64133.35</v>
      </c>
      <c r="C32" s="7">
        <v>497.5</v>
      </c>
      <c r="D32" s="7">
        <v>52.21</v>
      </c>
      <c r="E32" s="7">
        <v>554.35</v>
      </c>
      <c r="F32" s="8">
        <v>0.10255253900965097</v>
      </c>
      <c r="G32" s="7">
        <v>455.65</v>
      </c>
      <c r="H32" s="8">
        <v>0.0918468122462417</v>
      </c>
      <c r="I32" s="7">
        <v>501.6</v>
      </c>
      <c r="J32" s="8">
        <v>-0.008173843700159535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>
      <c r="A33" s="4" t="s">
        <v>41</v>
      </c>
      <c r="B33" s="5">
        <v>54643.2617004</v>
      </c>
      <c r="C33" s="7">
        <v>564.0</v>
      </c>
      <c r="D33" s="7">
        <v>57.95</v>
      </c>
      <c r="E33" s="7">
        <v>793.05</v>
      </c>
      <c r="F33" s="8">
        <v>0.2888216379799508</v>
      </c>
      <c r="G33" s="7">
        <v>543.6</v>
      </c>
      <c r="H33" s="8">
        <v>0.0375275938189845</v>
      </c>
      <c r="I33" s="7">
        <v>561.95</v>
      </c>
      <c r="J33" s="8">
        <v>0.0036480113889135234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>
      <c r="A34" s="4" t="s">
        <v>42</v>
      </c>
      <c r="B34" s="5">
        <v>52280.0813339</v>
      </c>
      <c r="C34" s="7">
        <v>77.15</v>
      </c>
      <c r="D34" s="7">
        <v>67.22</v>
      </c>
      <c r="E34" s="7">
        <v>165.03</v>
      </c>
      <c r="F34" s="8">
        <v>0.5325092407441071</v>
      </c>
      <c r="G34" s="7">
        <v>61.85</v>
      </c>
      <c r="H34" s="8">
        <v>0.2473726758286177</v>
      </c>
      <c r="I34" s="7">
        <v>78.15</v>
      </c>
      <c r="J34" s="8">
        <v>-0.012795905310300703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>
      <c r="A35" s="4" t="s">
        <v>43</v>
      </c>
      <c r="B35" s="5">
        <v>54522.74</v>
      </c>
      <c r="C35" s="7">
        <v>2732.0</v>
      </c>
      <c r="D35" s="7">
        <v>21.06</v>
      </c>
      <c r="E35" s="7">
        <v>2938.6</v>
      </c>
      <c r="F35" s="8">
        <v>0.07030558769482063</v>
      </c>
      <c r="G35" s="7">
        <v>2146.85</v>
      </c>
      <c r="H35" s="8">
        <v>0.27256212590539636</v>
      </c>
      <c r="I35" s="7">
        <v>2694.25</v>
      </c>
      <c r="J35" s="8">
        <v>0.014011320404565278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>
      <c r="A36" s="4" t="s">
        <v>44</v>
      </c>
      <c r="B36" s="5">
        <v>44392.395</v>
      </c>
      <c r="C36" s="7">
        <v>53.25</v>
      </c>
      <c r="D36" s="10" t="s">
        <v>15</v>
      </c>
      <c r="E36" s="7">
        <v>135.35</v>
      </c>
      <c r="F36" s="8">
        <v>0.606575544883635</v>
      </c>
      <c r="G36" s="7">
        <v>40.55</v>
      </c>
      <c r="H36" s="8">
        <v>0.3131935881627621</v>
      </c>
      <c r="I36" s="7">
        <v>53.75</v>
      </c>
      <c r="J36" s="8">
        <v>-0.009302325581395349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>
      <c r="A37" s="4" t="s">
        <v>45</v>
      </c>
      <c r="B37" s="5">
        <v>48135.11</v>
      </c>
      <c r="C37" s="7">
        <v>3731.8</v>
      </c>
      <c r="D37" s="7">
        <v>8.76</v>
      </c>
      <c r="E37" s="7">
        <v>5790.0</v>
      </c>
      <c r="F37" s="8">
        <v>0.35547495682210706</v>
      </c>
      <c r="G37" s="7">
        <v>3314.0</v>
      </c>
      <c r="H37" s="8">
        <v>0.12607121303560656</v>
      </c>
      <c r="I37" s="7">
        <v>3719.3</v>
      </c>
      <c r="J37" s="8">
        <v>0.0033608474712983625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>
      <c r="A38" s="4" t="s">
        <v>46</v>
      </c>
      <c r="B38" s="5">
        <v>38754.622389</v>
      </c>
      <c r="C38" s="7">
        <v>6223.0</v>
      </c>
      <c r="D38" s="7">
        <v>57.85</v>
      </c>
      <c r="E38" s="7">
        <v>10760.0</v>
      </c>
      <c r="F38" s="8">
        <v>0.4216542750929368</v>
      </c>
      <c r="G38" s="7">
        <v>5709.05</v>
      </c>
      <c r="H38" s="8">
        <v>0.09002373424650333</v>
      </c>
      <c r="I38" s="7">
        <v>6196.65</v>
      </c>
      <c r="J38" s="8">
        <v>0.004252297612419673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>
      <c r="A39" s="4" t="s">
        <v>47</v>
      </c>
      <c r="B39" s="5">
        <v>53833.6605806</v>
      </c>
      <c r="C39" s="7">
        <v>718.45</v>
      </c>
      <c r="D39" s="7">
        <v>13.58</v>
      </c>
      <c r="E39" s="7">
        <v>848.0</v>
      </c>
      <c r="F39" s="8">
        <v>0.15277122641509427</v>
      </c>
      <c r="G39" s="7">
        <v>607.8</v>
      </c>
      <c r="H39" s="8">
        <v>0.18205001645278068</v>
      </c>
      <c r="I39" s="7">
        <v>719.05</v>
      </c>
      <c r="J39" s="8">
        <v>-8.344343230650289E-4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>
      <c r="A40" s="4" t="s">
        <v>48</v>
      </c>
      <c r="B40" s="5">
        <v>51348.0038553</v>
      </c>
      <c r="C40" s="7">
        <v>641.0</v>
      </c>
      <c r="D40" s="7">
        <v>57.32</v>
      </c>
      <c r="E40" s="7">
        <v>918.65</v>
      </c>
      <c r="F40" s="8">
        <v>0.3022369781744952</v>
      </c>
      <c r="G40" s="7">
        <v>557.0</v>
      </c>
      <c r="H40" s="8">
        <v>0.15080789946140036</v>
      </c>
      <c r="I40" s="7">
        <v>640.65</v>
      </c>
      <c r="J40" s="8">
        <v>5.463201436041876E-4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>
      <c r="A41" s="4" t="s">
        <v>49</v>
      </c>
      <c r="B41" s="5">
        <v>38329.8286</v>
      </c>
      <c r="C41" s="7">
        <v>237.75</v>
      </c>
      <c r="D41" s="7">
        <v>9.94</v>
      </c>
      <c r="E41" s="7">
        <v>349.55</v>
      </c>
      <c r="F41" s="8">
        <v>0.319839794020884</v>
      </c>
      <c r="G41" s="7">
        <v>209.55</v>
      </c>
      <c r="H41" s="8">
        <v>0.1345740873299928</v>
      </c>
      <c r="I41" s="7">
        <v>239.25</v>
      </c>
      <c r="J41" s="8">
        <v>-0.006269592476489028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>
      <c r="A42" s="4" t="s">
        <v>50</v>
      </c>
      <c r="B42" s="5">
        <v>44894.62</v>
      </c>
      <c r="C42" s="7">
        <v>40260.0</v>
      </c>
      <c r="D42" s="7">
        <v>61.16</v>
      </c>
      <c r="E42" s="7">
        <v>54349.1</v>
      </c>
      <c r="F42" s="8">
        <v>0.2592333635699579</v>
      </c>
      <c r="G42" s="7">
        <v>37825.0</v>
      </c>
      <c r="H42" s="8">
        <v>0.06437541308658294</v>
      </c>
      <c r="I42" s="7">
        <v>40639.05</v>
      </c>
      <c r="J42" s="8">
        <v>-0.009327235749851507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>
      <c r="A43" s="4" t="s">
        <v>51</v>
      </c>
      <c r="B43" s="5">
        <v>45155.21625</v>
      </c>
      <c r="C43" s="7">
        <v>13875.0</v>
      </c>
      <c r="D43" s="7"/>
      <c r="E43" s="7">
        <v>16466.4</v>
      </c>
      <c r="F43" s="8">
        <v>0.1573750182189186</v>
      </c>
      <c r="G43" s="7">
        <v>12751.0</v>
      </c>
      <c r="H43" s="8">
        <v>0.088149949023606</v>
      </c>
      <c r="I43" s="7">
        <v>13925.15</v>
      </c>
      <c r="J43" s="8">
        <v>-0.0036013974714814304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>
      <c r="A44" s="4" t="s">
        <v>52</v>
      </c>
      <c r="B44" s="5">
        <v>38348.8672779</v>
      </c>
      <c r="C44" s="7">
        <v>2035.55</v>
      </c>
      <c r="D44" s="7">
        <v>24.59</v>
      </c>
      <c r="E44" s="7">
        <v>3466.4</v>
      </c>
      <c r="F44" s="8">
        <v>0.41277694438033696</v>
      </c>
      <c r="G44" s="7">
        <v>1897.35</v>
      </c>
      <c r="H44" s="8">
        <v>0.07283843255066279</v>
      </c>
      <c r="I44" s="7">
        <v>2013.55</v>
      </c>
      <c r="J44" s="8">
        <v>0.010925976509150505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>
      <c r="A45" s="4" t="s">
        <v>53</v>
      </c>
      <c r="B45" s="5">
        <v>36419.923269</v>
      </c>
      <c r="C45" s="7">
        <v>559.9</v>
      </c>
      <c r="D45" s="10" t="s">
        <v>15</v>
      </c>
      <c r="E45" s="7">
        <v>1147.4</v>
      </c>
      <c r="F45" s="8">
        <v>0.5120271919121493</v>
      </c>
      <c r="G45" s="7">
        <v>439.6</v>
      </c>
      <c r="H45" s="8">
        <v>0.2736578707916286</v>
      </c>
      <c r="I45" s="7">
        <v>542.25</v>
      </c>
      <c r="J45" s="8">
        <v>0.032549562010142884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>
      <c r="A46" s="4" t="s">
        <v>54</v>
      </c>
      <c r="B46" s="5">
        <v>43195.8704177</v>
      </c>
      <c r="C46" s="7">
        <v>2229.0</v>
      </c>
      <c r="D46" s="7">
        <v>30.72</v>
      </c>
      <c r="E46" s="7">
        <v>2537.45</v>
      </c>
      <c r="F46" s="8">
        <v>0.12155904549843341</v>
      </c>
      <c r="G46" s="7">
        <v>1690.55</v>
      </c>
      <c r="H46" s="8">
        <v>0.31850581171807996</v>
      </c>
      <c r="I46" s="7">
        <v>2214.25</v>
      </c>
      <c r="J46" s="8">
        <v>0.0066613977644800725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>
      <c r="A47" s="4" t="s">
        <v>55</v>
      </c>
      <c r="B47" s="5">
        <v>43190.429962</v>
      </c>
      <c r="C47" s="7">
        <v>146.95</v>
      </c>
      <c r="D47" s="7">
        <v>227.06</v>
      </c>
      <c r="E47" s="7">
        <v>169.45</v>
      </c>
      <c r="F47" s="8">
        <v>0.13278253172027146</v>
      </c>
      <c r="G47" s="7">
        <v>93.2</v>
      </c>
      <c r="H47" s="8">
        <v>0.5767167381974247</v>
      </c>
      <c r="I47" s="7">
        <v>146.8</v>
      </c>
      <c r="J47" s="8">
        <v>0.0010217983651224609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>
      <c r="A48" s="4" t="s">
        <v>56</v>
      </c>
      <c r="B48" s="5">
        <v>42774.19916</v>
      </c>
      <c r="C48" s="7">
        <v>1065.5</v>
      </c>
      <c r="D48" s="7">
        <v>11.41</v>
      </c>
      <c r="E48" s="7">
        <v>1526.4</v>
      </c>
      <c r="F48" s="8">
        <v>0.3019523060796646</v>
      </c>
      <c r="G48" s="7">
        <v>950.2</v>
      </c>
      <c r="H48" s="8">
        <v>0.1213428751841717</v>
      </c>
      <c r="I48" s="7">
        <v>1063.3</v>
      </c>
      <c r="J48" s="8">
        <v>0.0020690303771278523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>
      <c r="A49" s="4" t="s">
        <v>57</v>
      </c>
      <c r="B49" s="5">
        <v>42833.63</v>
      </c>
      <c r="C49" s="7">
        <v>1625.0</v>
      </c>
      <c r="D49" s="7">
        <v>78.07</v>
      </c>
      <c r="E49" s="7">
        <v>1806.45</v>
      </c>
      <c r="F49" s="8">
        <v>0.10044562539787984</v>
      </c>
      <c r="G49" s="7">
        <v>1274.5</v>
      </c>
      <c r="H49" s="8">
        <v>0.2750098077677521</v>
      </c>
      <c r="I49" s="7">
        <v>1644.15</v>
      </c>
      <c r="J49" s="8">
        <v>-0.011647355776541125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>
      <c r="A50" s="4" t="s">
        <v>58</v>
      </c>
      <c r="B50" s="5">
        <v>45934.43</v>
      </c>
      <c r="C50" s="7">
        <v>2148.0</v>
      </c>
      <c r="D50" s="7">
        <v>33.2</v>
      </c>
      <c r="E50" s="7">
        <v>2507.35</v>
      </c>
      <c r="F50" s="8">
        <v>0.14331864318902424</v>
      </c>
      <c r="G50" s="7">
        <v>1690.0</v>
      </c>
      <c r="H50" s="8">
        <v>0.2710059171597633</v>
      </c>
      <c r="I50" s="7">
        <v>2150.75</v>
      </c>
      <c r="J50" s="8">
        <v>-0.0012786237359060793</v>
      </c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>
      <c r="A51" s="4" t="s">
        <v>59</v>
      </c>
      <c r="B51" s="5">
        <v>49475.63474</v>
      </c>
      <c r="C51" s="7">
        <v>3262.0</v>
      </c>
      <c r="D51" s="7">
        <v>48.33</v>
      </c>
      <c r="E51" s="7">
        <v>3698.45</v>
      </c>
      <c r="F51" s="8">
        <v>0.11800889561843471</v>
      </c>
      <c r="G51" s="7">
        <v>2333.55</v>
      </c>
      <c r="H51" s="8">
        <v>0.39787019776735005</v>
      </c>
      <c r="I51" s="7">
        <v>3292.65</v>
      </c>
      <c r="J51" s="8">
        <v>-0.009308611604634592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>
      <c r="A52" s="4" t="s">
        <v>60</v>
      </c>
      <c r="B52" s="5">
        <v>47610.86</v>
      </c>
      <c r="C52" s="7">
        <v>999.5</v>
      </c>
      <c r="D52" s="7">
        <v>39.03</v>
      </c>
      <c r="E52" s="7">
        <v>1177.0</v>
      </c>
      <c r="F52" s="8">
        <v>0.1508071367884452</v>
      </c>
      <c r="G52" s="7">
        <v>513.0</v>
      </c>
      <c r="H52" s="8">
        <v>0.9483430799220273</v>
      </c>
      <c r="I52" s="7">
        <v>1005.2</v>
      </c>
      <c r="J52" s="8">
        <v>-0.005670513330680507</v>
      </c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>
      <c r="A53" s="4" t="s">
        <v>61</v>
      </c>
      <c r="B53" s="5">
        <v>42896.5939675</v>
      </c>
      <c r="C53" s="7">
        <v>1205.75</v>
      </c>
      <c r="D53" s="7">
        <v>117.93</v>
      </c>
      <c r="E53" s="7">
        <v>1571.0</v>
      </c>
      <c r="F53" s="8">
        <v>0.23249522597071928</v>
      </c>
      <c r="G53" s="7">
        <v>983.7</v>
      </c>
      <c r="H53" s="8">
        <v>0.22572938904137435</v>
      </c>
      <c r="I53" s="7">
        <v>1208.55</v>
      </c>
      <c r="J53" s="8">
        <v>-0.0023168259484505852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>
      <c r="A54" s="4" t="s">
        <v>62</v>
      </c>
      <c r="B54" s="5">
        <v>24962.9162175</v>
      </c>
      <c r="C54" s="7">
        <v>426.0</v>
      </c>
      <c r="D54" s="7">
        <v>69.24</v>
      </c>
      <c r="E54" s="7">
        <v>795.0</v>
      </c>
      <c r="F54" s="8">
        <v>0.4641509433962264</v>
      </c>
      <c r="G54" s="7">
        <v>397.35</v>
      </c>
      <c r="H54" s="8">
        <v>0.07210268025670058</v>
      </c>
      <c r="I54" s="7">
        <v>428.65</v>
      </c>
      <c r="J54" s="8">
        <v>-0.006182199930012778</v>
      </c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>
      <c r="A55" s="4" t="s">
        <v>63</v>
      </c>
      <c r="B55" s="5">
        <v>41248.67</v>
      </c>
      <c r="C55" s="7">
        <v>2046.5</v>
      </c>
      <c r="D55" s="7">
        <v>96.08</v>
      </c>
      <c r="E55" s="7">
        <v>2654.8</v>
      </c>
      <c r="F55" s="8">
        <v>0.22913213801416307</v>
      </c>
      <c r="G55" s="7">
        <v>1581.55</v>
      </c>
      <c r="H55" s="8">
        <v>0.2939837501185546</v>
      </c>
      <c r="I55" s="7">
        <v>2063.75</v>
      </c>
      <c r="J55" s="8">
        <v>-0.008358570563294972</v>
      </c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>
      <c r="A56" s="4" t="s">
        <v>64</v>
      </c>
      <c r="B56" s="5">
        <v>39945.4022299</v>
      </c>
      <c r="C56" s="7">
        <v>2662.0</v>
      </c>
      <c r="D56" s="7">
        <v>35.5</v>
      </c>
      <c r="E56" s="7">
        <v>3025.0</v>
      </c>
      <c r="F56" s="8">
        <v>0.12</v>
      </c>
      <c r="G56" s="7">
        <v>2043.85</v>
      </c>
      <c r="H56" s="8">
        <v>0.3024439171172053</v>
      </c>
      <c r="I56" s="7">
        <v>2677.05</v>
      </c>
      <c r="J56" s="8">
        <v>-0.005621859883080324</v>
      </c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>
      <c r="A57" s="4" t="s">
        <v>65</v>
      </c>
      <c r="B57" s="5">
        <v>25505.6859247</v>
      </c>
      <c r="C57" s="7">
        <v>435.3</v>
      </c>
      <c r="D57" s="7">
        <v>12.08</v>
      </c>
      <c r="E57" s="7">
        <v>727.95</v>
      </c>
      <c r="F57" s="8">
        <v>0.40201936946218836</v>
      </c>
      <c r="G57" s="7">
        <v>429.2</v>
      </c>
      <c r="H57" s="8">
        <v>0.014212488350419439</v>
      </c>
      <c r="I57" s="7">
        <v>446.35</v>
      </c>
      <c r="J57" s="8">
        <v>-0.02475635711885294</v>
      </c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>
      <c r="A58" s="4" t="s">
        <v>66</v>
      </c>
      <c r="B58" s="5">
        <v>35109.687833</v>
      </c>
      <c r="C58" s="7">
        <v>39710.0</v>
      </c>
      <c r="D58" s="7">
        <v>91.84</v>
      </c>
      <c r="E58" s="7">
        <v>46397.7</v>
      </c>
      <c r="F58" s="8">
        <v>0.14413861031904593</v>
      </c>
      <c r="G58" s="7">
        <v>30185.35</v>
      </c>
      <c r="H58" s="8">
        <v>0.3155388292665151</v>
      </c>
      <c r="I58" s="7">
        <v>39677.1</v>
      </c>
      <c r="J58" s="8">
        <v>8.291936658677538E-4</v>
      </c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>
      <c r="A59" s="4" t="s">
        <v>67</v>
      </c>
      <c r="B59" s="5">
        <v>38048.54</v>
      </c>
      <c r="C59" s="7">
        <v>89700.0</v>
      </c>
      <c r="D59" s="7">
        <v>66.97</v>
      </c>
      <c r="E59" s="7">
        <v>95954.35</v>
      </c>
      <c r="F59" s="8">
        <v>0.06518047383990414</v>
      </c>
      <c r="G59" s="7">
        <v>62944.5</v>
      </c>
      <c r="H59" s="8">
        <v>0.42506493815980745</v>
      </c>
      <c r="I59" s="7">
        <v>89498.35</v>
      </c>
      <c r="J59" s="8">
        <v>0.00225311416355714</v>
      </c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>
      <c r="A60" s="4" t="s">
        <v>68</v>
      </c>
      <c r="B60" s="5">
        <v>30664.6275</v>
      </c>
      <c r="C60" s="7">
        <v>2793.5</v>
      </c>
      <c r="D60" s="7">
        <v>28.23</v>
      </c>
      <c r="E60" s="7">
        <v>4172.95</v>
      </c>
      <c r="F60" s="8">
        <v>0.33056950119220213</v>
      </c>
      <c r="G60" s="7">
        <v>2105.15</v>
      </c>
      <c r="H60" s="8">
        <v>0.32698382538061416</v>
      </c>
      <c r="I60" s="7">
        <v>2841.6</v>
      </c>
      <c r="J60" s="8">
        <v>-0.0169270833333333</v>
      </c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>
      <c r="A61" s="4" t="s">
        <v>69</v>
      </c>
      <c r="B61" s="5">
        <v>31008.5328948</v>
      </c>
      <c r="C61" s="7">
        <v>450.2</v>
      </c>
      <c r="D61" s="7">
        <v>22.9</v>
      </c>
      <c r="E61" s="7">
        <v>721.8</v>
      </c>
      <c r="F61" s="8">
        <v>0.3762815184261568</v>
      </c>
      <c r="G61" s="7">
        <v>403.55</v>
      </c>
      <c r="H61" s="8">
        <v>0.11559905835708084</v>
      </c>
      <c r="I61" s="7">
        <v>466.8</v>
      </c>
      <c r="J61" s="8">
        <v>-0.03556126820908317</v>
      </c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>
      <c r="A62" s="4" t="s">
        <v>70</v>
      </c>
      <c r="B62" s="5">
        <v>27569.4122639</v>
      </c>
      <c r="C62" s="7">
        <v>799.4</v>
      </c>
      <c r="D62" s="7">
        <v>88.04</v>
      </c>
      <c r="E62" s="7">
        <v>1065.0</v>
      </c>
      <c r="F62" s="8">
        <v>0.24938967136150236</v>
      </c>
      <c r="G62" s="7">
        <v>627.8</v>
      </c>
      <c r="H62" s="8">
        <v>0.2733354571519593</v>
      </c>
      <c r="I62" s="7">
        <v>796.25</v>
      </c>
      <c r="J62" s="8">
        <v>0.003956043956043927</v>
      </c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>
      <c r="A63" s="4" t="s">
        <v>71</v>
      </c>
      <c r="B63" s="5">
        <v>25664.11</v>
      </c>
      <c r="C63" s="7">
        <v>872.0</v>
      </c>
      <c r="D63" s="7">
        <v>13.43</v>
      </c>
      <c r="E63" s="7">
        <v>1094.0</v>
      </c>
      <c r="F63" s="8">
        <v>0.20292504570383912</v>
      </c>
      <c r="G63" s="7">
        <v>729.55</v>
      </c>
      <c r="H63" s="8">
        <v>0.19525735042149278</v>
      </c>
      <c r="I63" s="7">
        <v>881.85</v>
      </c>
      <c r="J63" s="8">
        <v>-0.01116970006236891</v>
      </c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>
      <c r="A64" s="4" t="s">
        <v>72</v>
      </c>
      <c r="B64" s="5">
        <v>20673.2633944</v>
      </c>
      <c r="C64" s="7"/>
      <c r="D64" s="10" t="s">
        <v>15</v>
      </c>
      <c r="E64" s="7">
        <v>1052.05</v>
      </c>
      <c r="F64" s="8" t="e">
        <v>#REF!</v>
      </c>
      <c r="G64" s="7">
        <v>356.2</v>
      </c>
      <c r="H64" s="8" t="e">
        <v>#REF!</v>
      </c>
      <c r="I64" s="7">
        <v>465.85</v>
      </c>
      <c r="J64" s="8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>
      <c r="A65" s="4" t="s">
        <v>73</v>
      </c>
      <c r="B65" s="5">
        <v>29162.03</v>
      </c>
      <c r="C65" s="7">
        <v>416.85</v>
      </c>
      <c r="D65" s="7">
        <v>17.03</v>
      </c>
      <c r="E65" s="7">
        <v>466.65</v>
      </c>
      <c r="F65" s="8">
        <v>0.10671809707489543</v>
      </c>
      <c r="G65" s="7">
        <v>322.1</v>
      </c>
      <c r="H65" s="8">
        <v>0.2941633033219497</v>
      </c>
      <c r="I65" s="7">
        <v>418.6</v>
      </c>
      <c r="J65" s="8">
        <v>-0.004180602006688963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>
      <c r="A66" s="4" t="s">
        <v>74</v>
      </c>
      <c r="B66" s="5">
        <v>19213.8702946</v>
      </c>
      <c r="C66" s="7">
        <v>357.4</v>
      </c>
      <c r="D66" s="7">
        <v>22.19</v>
      </c>
      <c r="E66" s="7">
        <v>626.3</v>
      </c>
      <c r="F66" s="8">
        <v>0.4293469583266805</v>
      </c>
      <c r="G66" s="7">
        <v>354.0</v>
      </c>
      <c r="H66" s="8">
        <v>0.009604519774011236</v>
      </c>
      <c r="I66" s="7">
        <v>360.4</v>
      </c>
      <c r="J66" s="8">
        <v>-0.008324084350721421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>
      <c r="A67" s="4" t="s">
        <v>75</v>
      </c>
      <c r="B67" s="5">
        <v>26525.721745</v>
      </c>
      <c r="C67" s="7">
        <v>1944.05</v>
      </c>
      <c r="D67" s="7">
        <v>28.86</v>
      </c>
      <c r="E67" s="7">
        <v>2690.05</v>
      </c>
      <c r="F67" s="8">
        <v>0.27731826545974986</v>
      </c>
      <c r="G67" s="7">
        <v>1681.15</v>
      </c>
      <c r="H67" s="8">
        <v>0.15638104868691066</v>
      </c>
      <c r="I67" s="7">
        <v>1941.8</v>
      </c>
      <c r="J67" s="8">
        <v>0.0011587187145947059</v>
      </c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>
      <c r="A68" s="4" t="s">
        <v>76</v>
      </c>
      <c r="B68" s="5">
        <v>22202.96</v>
      </c>
      <c r="C68" s="7">
        <v>892.35</v>
      </c>
      <c r="D68" s="7">
        <v>114.44</v>
      </c>
      <c r="E68" s="7">
        <v>1369.7</v>
      </c>
      <c r="F68" s="8">
        <v>0.34850697232970723</v>
      </c>
      <c r="G68" s="7">
        <v>872.0</v>
      </c>
      <c r="H68" s="8">
        <v>0.02333715596330278</v>
      </c>
      <c r="I68" s="7">
        <v>898.2</v>
      </c>
      <c r="J68" s="8">
        <v>-0.006513026052104233</v>
      </c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>
      <c r="A69" s="4" t="s">
        <v>77</v>
      </c>
      <c r="B69" s="5">
        <v>30617.09</v>
      </c>
      <c r="C69" s="7">
        <v>4009.0</v>
      </c>
      <c r="D69" s="7">
        <v>37.59</v>
      </c>
      <c r="E69" s="7">
        <v>4954.0</v>
      </c>
      <c r="F69" s="8">
        <v>0.19075494549858701</v>
      </c>
      <c r="G69" s="7">
        <v>3092.05</v>
      </c>
      <c r="H69" s="8">
        <v>0.296550831972316</v>
      </c>
      <c r="I69" s="7">
        <v>3978.2</v>
      </c>
      <c r="J69" s="8">
        <v>0.007742194962545921</v>
      </c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>
      <c r="A70" s="4" t="s">
        <v>78</v>
      </c>
      <c r="B70" s="5">
        <v>25229.93</v>
      </c>
      <c r="C70" s="7">
        <v>22300.0</v>
      </c>
      <c r="D70" s="7">
        <v>68.24</v>
      </c>
      <c r="E70" s="7">
        <v>26943.0</v>
      </c>
      <c r="F70" s="8">
        <v>0.17232676390899307</v>
      </c>
      <c r="G70" s="7">
        <v>17273.0</v>
      </c>
      <c r="H70" s="8">
        <v>0.2910322468592601</v>
      </c>
      <c r="I70" s="7">
        <v>22335.4</v>
      </c>
      <c r="J70" s="8">
        <v>-0.0015849279618901588</v>
      </c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>
      <c r="A71" s="4" t="s">
        <v>79</v>
      </c>
      <c r="B71" s="5">
        <v>22090.03</v>
      </c>
      <c r="C71" s="7">
        <v>872.85</v>
      </c>
      <c r="D71" s="7">
        <v>42.96</v>
      </c>
      <c r="E71" s="7">
        <v>1095.0</v>
      </c>
      <c r="F71" s="8">
        <v>0.2028767123287671</v>
      </c>
      <c r="G71" s="7">
        <v>830.0</v>
      </c>
      <c r="H71" s="8">
        <v>0.051626506024096415</v>
      </c>
      <c r="I71" s="7">
        <v>868.6</v>
      </c>
      <c r="J71" s="8">
        <v>0.004892931153580474</v>
      </c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>
      <c r="A72" s="4" t="s">
        <v>80</v>
      </c>
      <c r="B72" s="5">
        <v>20286.8999472</v>
      </c>
      <c r="C72" s="7">
        <v>1580.0</v>
      </c>
      <c r="D72" s="7">
        <v>65.53</v>
      </c>
      <c r="E72" s="7">
        <v>2122.0</v>
      </c>
      <c r="F72" s="8">
        <v>0.2554194156456173</v>
      </c>
      <c r="G72" s="7">
        <v>1551.1</v>
      </c>
      <c r="H72" s="8">
        <v>0.01863193862420224</v>
      </c>
      <c r="I72" s="7">
        <v>1636.6</v>
      </c>
      <c r="J72" s="8">
        <v>-0.03458389343761451</v>
      </c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>
      <c r="A73" s="4" t="s">
        <v>81</v>
      </c>
      <c r="B73" s="5">
        <v>23631.8479052</v>
      </c>
      <c r="C73" s="7">
        <v>3868.05</v>
      </c>
      <c r="D73" s="7">
        <v>32.39</v>
      </c>
      <c r="E73" s="7">
        <v>5862.1</v>
      </c>
      <c r="F73" s="8">
        <v>0.3401596697429249</v>
      </c>
      <c r="G73" s="7">
        <v>3210.0</v>
      </c>
      <c r="H73" s="8">
        <v>0.20500000000000004</v>
      </c>
      <c r="I73" s="7">
        <v>3902.65</v>
      </c>
      <c r="J73" s="8">
        <v>-0.008865770694271817</v>
      </c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>
      <c r="A74" s="4" t="s">
        <v>82</v>
      </c>
      <c r="B74" s="5">
        <v>31477.05</v>
      </c>
      <c r="C74" s="7">
        <v>1136.0</v>
      </c>
      <c r="D74" s="7">
        <v>54.9</v>
      </c>
      <c r="E74" s="7">
        <v>1193.85</v>
      </c>
      <c r="F74" s="8">
        <v>0.04845667378648902</v>
      </c>
      <c r="G74" s="7">
        <v>771.0</v>
      </c>
      <c r="H74" s="8">
        <v>0.47341115434500647</v>
      </c>
      <c r="I74" s="7">
        <v>1127.95</v>
      </c>
      <c r="J74" s="8">
        <v>0.007136841172037727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>
      <c r="A75" s="4" t="s">
        <v>83</v>
      </c>
      <c r="B75" s="5">
        <v>21451.6044776</v>
      </c>
      <c r="C75" s="7">
        <v>337.35</v>
      </c>
      <c r="D75" s="7">
        <v>36.77</v>
      </c>
      <c r="E75" s="7">
        <v>451.95</v>
      </c>
      <c r="F75" s="8">
        <v>0.2535678725522734</v>
      </c>
      <c r="G75" s="7">
        <v>312.0</v>
      </c>
      <c r="H75" s="8">
        <v>0.08125000000000007</v>
      </c>
      <c r="I75" s="7">
        <v>338.0</v>
      </c>
      <c r="J75" s="8">
        <v>-0.0019230769230768557</v>
      </c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>
      <c r="A76" s="4" t="s">
        <v>84</v>
      </c>
      <c r="B76" s="5">
        <v>31369.92</v>
      </c>
      <c r="C76" s="7">
        <v>2461.0</v>
      </c>
      <c r="D76" s="7">
        <v>36.12</v>
      </c>
      <c r="E76" s="7">
        <v>2607.65</v>
      </c>
      <c r="F76" s="8">
        <v>0.05623837554886587</v>
      </c>
      <c r="G76" s="7">
        <v>1666.25</v>
      </c>
      <c r="H76" s="8">
        <v>0.47696924231057763</v>
      </c>
      <c r="I76" s="7">
        <v>2452.7</v>
      </c>
      <c r="J76" s="8">
        <v>0.003384025767521581</v>
      </c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>
      <c r="A77" s="4" t="s">
        <v>85</v>
      </c>
      <c r="B77" s="5">
        <v>21050.0222911</v>
      </c>
      <c r="C77" s="7">
        <v>4669.05</v>
      </c>
      <c r="D77" s="7">
        <v>29.86</v>
      </c>
      <c r="E77" s="7">
        <v>5667.75</v>
      </c>
      <c r="F77" s="8">
        <v>0.17620748974460762</v>
      </c>
      <c r="G77" s="7">
        <v>4218.05</v>
      </c>
      <c r="H77" s="8">
        <v>0.10692144474342409</v>
      </c>
      <c r="I77" s="7">
        <v>4647.55</v>
      </c>
      <c r="J77" s="8">
        <v>0.004626093317984745</v>
      </c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>
      <c r="A78" s="4" t="s">
        <v>86</v>
      </c>
      <c r="B78" s="5">
        <v>24637.83</v>
      </c>
      <c r="C78" s="7">
        <v>493.2</v>
      </c>
      <c r="D78" s="7">
        <v>48.9</v>
      </c>
      <c r="E78" s="7">
        <v>540.8</v>
      </c>
      <c r="F78" s="8">
        <v>0.08801775147928989</v>
      </c>
      <c r="G78" s="7">
        <v>351.5</v>
      </c>
      <c r="H78" s="8">
        <v>0.40312944523470834</v>
      </c>
      <c r="I78" s="7">
        <v>487.95</v>
      </c>
      <c r="J78" s="8">
        <v>0.010759299108515218</v>
      </c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>
      <c r="A79" s="4" t="s">
        <v>87</v>
      </c>
      <c r="B79" s="5">
        <v>21650.114525</v>
      </c>
      <c r="C79" s="7">
        <v>3635.0</v>
      </c>
      <c r="D79" s="7">
        <v>93.72</v>
      </c>
      <c r="E79" s="7">
        <v>5444.1</v>
      </c>
      <c r="F79" s="8">
        <v>0.33230469682775854</v>
      </c>
      <c r="G79" s="7">
        <v>3180.55</v>
      </c>
      <c r="H79" s="8">
        <v>0.1428840923739604</v>
      </c>
      <c r="I79" s="7">
        <v>3651.05</v>
      </c>
      <c r="J79" s="8">
        <v>-0.00439599567247783</v>
      </c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>
      <c r="A80" s="4" t="s">
        <v>88</v>
      </c>
      <c r="B80" s="5">
        <v>24851.46731</v>
      </c>
      <c r="C80" s="7">
        <v>975.8</v>
      </c>
      <c r="D80" s="7">
        <v>12.65</v>
      </c>
      <c r="E80" s="7">
        <v>1214.65</v>
      </c>
      <c r="F80" s="8">
        <v>0.1966410076976908</v>
      </c>
      <c r="G80" s="7">
        <v>773.9</v>
      </c>
      <c r="H80" s="8">
        <v>0.2608864194340354</v>
      </c>
      <c r="I80" s="7">
        <v>972.55</v>
      </c>
      <c r="J80" s="8">
        <v>0.0033417305022878</v>
      </c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>
      <c r="A81" s="4" t="s">
        <v>89</v>
      </c>
      <c r="B81" s="5">
        <v>20604.2</v>
      </c>
      <c r="C81" s="7">
        <v>2000.0</v>
      </c>
      <c r="D81" s="7">
        <v>51.19</v>
      </c>
      <c r="E81" s="7">
        <v>2377.0</v>
      </c>
      <c r="F81" s="8">
        <v>0.15860328144720234</v>
      </c>
      <c r="G81" s="7">
        <v>1674.2</v>
      </c>
      <c r="H81" s="8">
        <v>0.19460040616413807</v>
      </c>
      <c r="I81" s="7">
        <v>2014.85</v>
      </c>
      <c r="J81" s="8">
        <v>-0.007370275702905878</v>
      </c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>
      <c r="A82" s="4" t="s">
        <v>90</v>
      </c>
      <c r="B82" s="5">
        <v>18318.3733666</v>
      </c>
      <c r="C82" s="7">
        <v>1441.55</v>
      </c>
      <c r="D82" s="7">
        <v>70.52</v>
      </c>
      <c r="E82" s="7">
        <v>1917.0</v>
      </c>
      <c r="F82" s="8">
        <v>0.24801773604590507</v>
      </c>
      <c r="G82" s="7">
        <v>1365.1</v>
      </c>
      <c r="H82" s="8">
        <v>0.05600322320709109</v>
      </c>
      <c r="I82" s="7">
        <v>1480.7</v>
      </c>
      <c r="J82" s="8">
        <v>-0.026440197204025184</v>
      </c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>
      <c r="A83" s="4" t="s">
        <v>91</v>
      </c>
      <c r="B83" s="5">
        <v>37544.8863158</v>
      </c>
      <c r="C83" s="7">
        <v>60.2</v>
      </c>
      <c r="D83" s="7"/>
      <c r="E83" s="7">
        <v>64.3</v>
      </c>
      <c r="F83" s="8">
        <v>0.06376360808709167</v>
      </c>
      <c r="G83" s="7" t="s">
        <v>92</v>
      </c>
      <c r="H83" s="8" t="e">
        <v>#VALUE!</v>
      </c>
      <c r="I83" s="7">
        <v>59.6</v>
      </c>
      <c r="J83" s="8">
        <v>0.010067114093959755</v>
      </c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>
      <c r="A84" s="4" t="s">
        <v>93</v>
      </c>
      <c r="B84" s="5">
        <v>19679.44</v>
      </c>
      <c r="C84" s="7">
        <v>1398.5</v>
      </c>
      <c r="D84" s="7">
        <v>42.23</v>
      </c>
      <c r="E84" s="7">
        <v>1736.15</v>
      </c>
      <c r="F84" s="8">
        <v>0.19448204360222335</v>
      </c>
      <c r="G84" s="7">
        <v>1047.2</v>
      </c>
      <c r="H84" s="8">
        <v>0.3354660045836516</v>
      </c>
      <c r="I84" s="7">
        <v>1401.15</v>
      </c>
      <c r="J84" s="8">
        <v>-0.001891303572065868</v>
      </c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>
      <c r="A85" s="4" t="s">
        <v>94</v>
      </c>
      <c r="B85" s="5">
        <v>19278.55</v>
      </c>
      <c r="C85" s="7">
        <v>4224.9</v>
      </c>
      <c r="D85" s="7">
        <v>31.52</v>
      </c>
      <c r="E85" s="7">
        <v>4946.1</v>
      </c>
      <c r="F85" s="8">
        <v>0.14581185176199443</v>
      </c>
      <c r="G85" s="7">
        <v>4056.0</v>
      </c>
      <c r="H85" s="8">
        <v>0.04164201183431944</v>
      </c>
      <c r="I85" s="7">
        <v>4254.0</v>
      </c>
      <c r="J85" s="8">
        <v>-0.006840620592383724</v>
      </c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>
      <c r="A86" s="4" t="s">
        <v>95</v>
      </c>
      <c r="B86" s="5">
        <v>16896.24225</v>
      </c>
      <c r="C86" s="7">
        <v>33.75</v>
      </c>
      <c r="D86" s="7">
        <v>30.44</v>
      </c>
      <c r="E86" s="7">
        <v>70.9</v>
      </c>
      <c r="F86" s="8">
        <v>0.5239774330042314</v>
      </c>
      <c r="G86" s="7">
        <v>30.45</v>
      </c>
      <c r="H86" s="8">
        <v>0.10837438423645322</v>
      </c>
      <c r="I86" s="7">
        <v>33.65</v>
      </c>
      <c r="J86" s="8">
        <v>0.00297176820208028</v>
      </c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>
      <c r="A87" s="4" t="s">
        <v>96</v>
      </c>
      <c r="B87" s="5">
        <v>20217.231452</v>
      </c>
      <c r="C87" s="7">
        <v>4080.6</v>
      </c>
      <c r="D87" s="7">
        <v>73.24</v>
      </c>
      <c r="E87" s="7">
        <v>4847.35</v>
      </c>
      <c r="F87" s="8">
        <v>0.15817921132165005</v>
      </c>
      <c r="G87" s="7">
        <v>3361.45</v>
      </c>
      <c r="H87" s="8">
        <v>0.2139404126195541</v>
      </c>
      <c r="I87" s="7">
        <v>4127.1</v>
      </c>
      <c r="J87" s="8">
        <v>-0.011266991349858363</v>
      </c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>
      <c r="A88" s="4" t="s">
        <v>97</v>
      </c>
      <c r="B88" s="5">
        <v>22159.2659823</v>
      </c>
      <c r="C88" s="7">
        <v>402.9</v>
      </c>
      <c r="D88" s="7">
        <v>6.85</v>
      </c>
      <c r="E88" s="7">
        <v>443.5</v>
      </c>
      <c r="F88" s="8">
        <v>0.09154453213077796</v>
      </c>
      <c r="G88" s="7">
        <v>291.75</v>
      </c>
      <c r="H88" s="8">
        <v>0.38097686375321327</v>
      </c>
      <c r="I88" s="7">
        <v>400.2</v>
      </c>
      <c r="J88" s="8">
        <v>0.006746626686656643</v>
      </c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>
      <c r="A89" s="4" t="s">
        <v>98</v>
      </c>
      <c r="B89" s="5">
        <v>17986.0053514</v>
      </c>
      <c r="C89" s="7">
        <v>2174.05</v>
      </c>
      <c r="D89" s="7">
        <v>72.77</v>
      </c>
      <c r="E89" s="7">
        <v>3769.95</v>
      </c>
      <c r="F89" s="8">
        <v>0.423321264207748</v>
      </c>
      <c r="G89" s="7">
        <v>1805.55</v>
      </c>
      <c r="H89" s="8">
        <v>0.20409293567057143</v>
      </c>
      <c r="I89" s="7">
        <v>2171.85</v>
      </c>
      <c r="J89" s="8">
        <v>0.0010129613002740857</v>
      </c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>
      <c r="A90" s="4" t="s">
        <v>99</v>
      </c>
      <c r="B90" s="5">
        <v>12685.7721399</v>
      </c>
      <c r="C90" s="7">
        <v>141.55</v>
      </c>
      <c r="D90" s="7">
        <v>41.14</v>
      </c>
      <c r="E90" s="7">
        <v>271.95</v>
      </c>
      <c r="F90" s="8">
        <v>0.4794999080713366</v>
      </c>
      <c r="G90" s="7">
        <v>129.25</v>
      </c>
      <c r="H90" s="8">
        <v>0.09516441005802717</v>
      </c>
      <c r="I90" s="7">
        <v>141.4</v>
      </c>
      <c r="J90" s="8">
        <v>0.001060820367751101</v>
      </c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>
      <c r="A91" s="4" t="s">
        <v>100</v>
      </c>
      <c r="B91" s="5">
        <v>15538.83</v>
      </c>
      <c r="C91" s="7">
        <v>1463.5</v>
      </c>
      <c r="D91" s="7">
        <v>61.9</v>
      </c>
      <c r="E91" s="7">
        <v>2624.0</v>
      </c>
      <c r="F91" s="8">
        <v>0.4422637195121951</v>
      </c>
      <c r="G91" s="7">
        <v>1410.1</v>
      </c>
      <c r="H91" s="8">
        <v>0.037869654634423155</v>
      </c>
      <c r="I91" s="7">
        <v>1471.05</v>
      </c>
      <c r="J91" s="8">
        <v>-0.005132388430032939</v>
      </c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>
      <c r="A92" s="4" t="s">
        <v>101</v>
      </c>
      <c r="B92" s="5">
        <v>17277.2</v>
      </c>
      <c r="C92" s="7">
        <v>5630.0</v>
      </c>
      <c r="D92" s="7">
        <v>32.19</v>
      </c>
      <c r="E92" s="7">
        <v>7328.75</v>
      </c>
      <c r="F92" s="8">
        <v>0.23179259764625618</v>
      </c>
      <c r="G92" s="7">
        <v>3457.1</v>
      </c>
      <c r="H92" s="8">
        <v>0.6285325851146916</v>
      </c>
      <c r="I92" s="7">
        <v>5672.25</v>
      </c>
      <c r="J92" s="8">
        <v>-0.0074485433469963416</v>
      </c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>
      <c r="A93" s="4" t="s">
        <v>102</v>
      </c>
      <c r="B93" s="5">
        <v>10913.18</v>
      </c>
      <c r="C93" s="7">
        <v>555.0</v>
      </c>
      <c r="D93" s="7">
        <v>42.84</v>
      </c>
      <c r="E93" s="7">
        <v>822.8</v>
      </c>
      <c r="F93" s="8">
        <v>0.3254739912493923</v>
      </c>
      <c r="G93" s="7">
        <v>540.0</v>
      </c>
      <c r="H93" s="8">
        <v>0.027777777777777776</v>
      </c>
      <c r="I93" s="7">
        <v>557.4</v>
      </c>
      <c r="J93" s="8">
        <v>-0.004305705059203404</v>
      </c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>
      <c r="A94" s="4" t="s">
        <v>103</v>
      </c>
      <c r="B94" s="5">
        <v>13659.0</v>
      </c>
      <c r="C94" s="7">
        <v>1024.0</v>
      </c>
      <c r="D94" s="7">
        <v>55.83</v>
      </c>
      <c r="E94" s="7">
        <v>1511.0</v>
      </c>
      <c r="F94" s="8">
        <v>0.32230311052283256</v>
      </c>
      <c r="G94" s="7">
        <v>871.55</v>
      </c>
      <c r="H94" s="8">
        <v>0.17491824909643744</v>
      </c>
      <c r="I94" s="7">
        <v>1035.55</v>
      </c>
      <c r="J94" s="8">
        <v>-0.011153493312732321</v>
      </c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>
      <c r="A95" s="4" t="s">
        <v>104</v>
      </c>
      <c r="B95" s="5">
        <v>9951.4177429</v>
      </c>
      <c r="C95" s="7">
        <v>731.9</v>
      </c>
      <c r="D95" s="7">
        <v>19.49</v>
      </c>
      <c r="E95" s="7">
        <v>2094.4</v>
      </c>
      <c r="F95" s="8">
        <v>0.6505443086325439</v>
      </c>
      <c r="G95" s="7">
        <v>584.8</v>
      </c>
      <c r="H95" s="8">
        <v>0.25153898768809857</v>
      </c>
      <c r="I95" s="7">
        <v>724.3</v>
      </c>
      <c r="J95" s="8">
        <v>0.010492889686593985</v>
      </c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>
      <c r="A96" s="4" t="s">
        <v>105</v>
      </c>
      <c r="B96" s="5">
        <v>18827.9516699</v>
      </c>
      <c r="C96" s="7">
        <v>696.3</v>
      </c>
      <c r="D96" s="7">
        <v>59.82</v>
      </c>
      <c r="E96" s="7">
        <v>764.25</v>
      </c>
      <c r="F96" s="8">
        <v>0.08891069676153097</v>
      </c>
      <c r="G96" s="7">
        <v>440.0</v>
      </c>
      <c r="H96" s="8">
        <v>0.5824999999999999</v>
      </c>
      <c r="I96" s="7">
        <v>692.45</v>
      </c>
      <c r="J96" s="8">
        <v>0.005559968228752847</v>
      </c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>
      <c r="A97" s="4" t="s">
        <v>106</v>
      </c>
      <c r="B97" s="5">
        <v>12260.1</v>
      </c>
      <c r="C97" s="7">
        <v>1260.0</v>
      </c>
      <c r="D97" s="7">
        <v>57.79</v>
      </c>
      <c r="E97" s="7">
        <v>2027.0</v>
      </c>
      <c r="F97" s="8">
        <v>0.37839171188949183</v>
      </c>
      <c r="G97" s="7">
        <v>1204.15</v>
      </c>
      <c r="H97" s="8">
        <v>0.046381264792592206</v>
      </c>
      <c r="I97" s="7">
        <v>1251.3</v>
      </c>
      <c r="J97" s="8">
        <v>0.006952769120115117</v>
      </c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>
      <c r="A98" s="4" t="s">
        <v>107</v>
      </c>
      <c r="B98" s="5">
        <v>13709.808</v>
      </c>
      <c r="C98" s="7">
        <v>4477.0</v>
      </c>
      <c r="D98" s="7">
        <v>56.62</v>
      </c>
      <c r="E98" s="7">
        <v>6898.75</v>
      </c>
      <c r="F98" s="8">
        <v>0.3510418554085885</v>
      </c>
      <c r="G98" s="7">
        <v>3676.0</v>
      </c>
      <c r="H98" s="8">
        <v>0.2178998911860718</v>
      </c>
      <c r="I98" s="7">
        <v>4446.55</v>
      </c>
      <c r="J98" s="8">
        <v>0.006848005757272451</v>
      </c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>
      <c r="A99" s="4" t="s">
        <v>108</v>
      </c>
      <c r="B99" s="5">
        <v>12642.1534329</v>
      </c>
      <c r="C99" s="7">
        <v>885.05</v>
      </c>
      <c r="D99" s="7">
        <v>59.08</v>
      </c>
      <c r="E99" s="7">
        <v>1359.85</v>
      </c>
      <c r="F99" s="8">
        <v>0.34915615692907304</v>
      </c>
      <c r="G99" s="7">
        <v>785.55</v>
      </c>
      <c r="H99" s="8">
        <v>0.12666284768633443</v>
      </c>
      <c r="I99" s="7">
        <v>884.65</v>
      </c>
      <c r="J99" s="8">
        <v>4.5215621997397534E-4</v>
      </c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>
      <c r="A100" s="4" t="s">
        <v>109</v>
      </c>
      <c r="B100" s="5">
        <v>11261.44</v>
      </c>
      <c r="C100" s="7">
        <v>1077.9</v>
      </c>
      <c r="D100" s="7">
        <v>37.61</v>
      </c>
      <c r="E100" s="7">
        <v>1654.0</v>
      </c>
      <c r="F100" s="8">
        <v>0.3483071342200725</v>
      </c>
      <c r="G100" s="7">
        <v>1015.0</v>
      </c>
      <c r="H100" s="8">
        <v>0.06197044334975378</v>
      </c>
      <c r="I100" s="7">
        <v>1078.65</v>
      </c>
      <c r="J100" s="8">
        <v>-6.953135864274788E-4</v>
      </c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>
      <c r="A101" s="4" t="s">
        <v>110</v>
      </c>
      <c r="B101" s="5">
        <v>15554.9906858</v>
      </c>
      <c r="C101" s="7">
        <v>182.85</v>
      </c>
      <c r="D101" s="7">
        <v>3.39</v>
      </c>
      <c r="E101" s="7">
        <v>194.2</v>
      </c>
      <c r="F101" s="8">
        <v>0.05844490216271882</v>
      </c>
      <c r="G101" s="7">
        <v>130.25</v>
      </c>
      <c r="H101" s="8">
        <v>0.4038387715930902</v>
      </c>
      <c r="I101" s="7">
        <v>182.65</v>
      </c>
      <c r="J101" s="8">
        <v>0.001094990418833773</v>
      </c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>
      <c r="A102" s="4" t="s">
        <v>111</v>
      </c>
      <c r="B102" s="5">
        <v>11658.528175</v>
      </c>
      <c r="C102" s="7">
        <v>523.9</v>
      </c>
      <c r="D102" s="7">
        <v>31.54</v>
      </c>
      <c r="E102" s="7">
        <v>749.0</v>
      </c>
      <c r="F102" s="8">
        <v>0.30053404539385853</v>
      </c>
      <c r="G102" s="7">
        <v>484.7</v>
      </c>
      <c r="H102" s="8">
        <v>0.08087476789766863</v>
      </c>
      <c r="I102" s="7">
        <v>517.65</v>
      </c>
      <c r="J102" s="8">
        <v>0.012073795035255483</v>
      </c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>
      <c r="A103" s="4" t="s">
        <v>112</v>
      </c>
      <c r="B103" s="5">
        <v>10943.5753</v>
      </c>
      <c r="C103" s="7">
        <v>789.5</v>
      </c>
      <c r="D103" s="7">
        <v>35.54</v>
      </c>
      <c r="E103" s="7">
        <v>1049.9</v>
      </c>
      <c r="F103" s="8">
        <v>0.24802362129726646</v>
      </c>
      <c r="G103" s="7">
        <v>744.7</v>
      </c>
      <c r="H103" s="8">
        <v>0.060158453068349604</v>
      </c>
      <c r="I103" s="7">
        <v>794.05</v>
      </c>
      <c r="J103" s="8">
        <v>-0.005730117750771305</v>
      </c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>
      <c r="A104" s="4" t="s">
        <v>113</v>
      </c>
      <c r="B104" s="5">
        <v>11180.9471528</v>
      </c>
      <c r="C104" s="7">
        <v>2274.0</v>
      </c>
      <c r="D104" s="7">
        <v>38.87</v>
      </c>
      <c r="E104" s="7">
        <v>2971.5</v>
      </c>
      <c r="F104" s="8">
        <v>0.2347299343765775</v>
      </c>
      <c r="G104" s="7">
        <v>2037.15</v>
      </c>
      <c r="H104" s="8">
        <v>0.11626537073853173</v>
      </c>
      <c r="I104" s="7">
        <v>2235.75</v>
      </c>
      <c r="J104" s="8">
        <v>0.017108352901710835</v>
      </c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>
      <c r="A105" s="4" t="s">
        <v>114</v>
      </c>
      <c r="B105" s="5">
        <v>14279.03184</v>
      </c>
      <c r="C105" s="7">
        <v>1068.0</v>
      </c>
      <c r="D105" s="10" t="s">
        <v>15</v>
      </c>
      <c r="E105" s="7">
        <v>1215.4</v>
      </c>
      <c r="F105" s="8">
        <v>0.12127694586144486</v>
      </c>
      <c r="G105" s="7">
        <v>731.35</v>
      </c>
      <c r="H105" s="8">
        <v>0.4603131195733916</v>
      </c>
      <c r="I105" s="7">
        <v>1066.2</v>
      </c>
      <c r="J105" s="8">
        <v>0.0016882386043893776</v>
      </c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>
      <c r="A106" s="4" t="s">
        <v>115</v>
      </c>
      <c r="B106" s="5">
        <v>12966.0743501</v>
      </c>
      <c r="C106" s="7">
        <v>1436.05</v>
      </c>
      <c r="D106" s="7">
        <v>30.59</v>
      </c>
      <c r="E106" s="7">
        <v>1662.45</v>
      </c>
      <c r="F106" s="8">
        <v>0.13618454690366633</v>
      </c>
      <c r="G106" s="7">
        <v>905.2</v>
      </c>
      <c r="H106" s="8">
        <v>0.5864449845338046</v>
      </c>
      <c r="I106" s="7">
        <v>1435.2</v>
      </c>
      <c r="J106" s="8">
        <v>5.922519509475397E-4</v>
      </c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>
      <c r="A107" s="4" t="s">
        <v>116</v>
      </c>
      <c r="B107" s="5">
        <v>8341.1378051</v>
      </c>
      <c r="C107" s="7">
        <v>2358.0</v>
      </c>
      <c r="D107" s="7">
        <v>25.47</v>
      </c>
      <c r="E107" s="7">
        <v>3447.55</v>
      </c>
      <c r="F107" s="8">
        <v>0.31603602558338534</v>
      </c>
      <c r="G107" s="7">
        <v>2310.1</v>
      </c>
      <c r="H107" s="8">
        <v>0.020735033115449587</v>
      </c>
      <c r="I107" s="7">
        <v>2340.5</v>
      </c>
      <c r="J107" s="8">
        <v>0.007477034821619312</v>
      </c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>
      <c r="A108" s="4" t="s">
        <v>117</v>
      </c>
      <c r="B108" s="5">
        <v>8026.4791851</v>
      </c>
      <c r="C108" s="7">
        <v>293.1</v>
      </c>
      <c r="D108" s="7"/>
      <c r="E108" s="7">
        <v>579.95</v>
      </c>
      <c r="F108" s="8">
        <v>0.49461160444865937</v>
      </c>
      <c r="G108" s="7">
        <v>262.3</v>
      </c>
      <c r="H108" s="8">
        <v>0.1174227983225315</v>
      </c>
      <c r="I108" s="7">
        <v>289.1</v>
      </c>
      <c r="J108" s="8">
        <v>0.013836042891732963</v>
      </c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>
      <c r="A109" s="4" t="s">
        <v>118</v>
      </c>
      <c r="B109" s="5">
        <v>8293.1763762</v>
      </c>
      <c r="C109" s="7">
        <v>2562.7</v>
      </c>
      <c r="D109" s="7">
        <v>20.06</v>
      </c>
      <c r="E109" s="7">
        <v>3841.85</v>
      </c>
      <c r="F109" s="8">
        <v>0.3329515728099744</v>
      </c>
      <c r="G109" s="7">
        <v>2530.0</v>
      </c>
      <c r="H109" s="8">
        <v>0.01292490118577068</v>
      </c>
      <c r="I109" s="7">
        <v>2557.4</v>
      </c>
      <c r="J109" s="8">
        <v>0.0020724172988190064</v>
      </c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>
      <c r="A110" s="4" t="s">
        <v>119</v>
      </c>
      <c r="B110" s="5">
        <v>7486.15043</v>
      </c>
      <c r="C110" s="7">
        <v>629.0</v>
      </c>
      <c r="D110" s="7">
        <v>188.97</v>
      </c>
      <c r="E110" s="7">
        <v>1343.0</v>
      </c>
      <c r="F110" s="8">
        <v>0.5316455696202531</v>
      </c>
      <c r="G110" s="7">
        <v>570.0</v>
      </c>
      <c r="H110" s="8">
        <v>0.10350877192982456</v>
      </c>
      <c r="I110" s="7">
        <v>625.55</v>
      </c>
      <c r="J110" s="8">
        <v>0.005515146670929655</v>
      </c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>
      <c r="A111" s="4" t="s">
        <v>120</v>
      </c>
      <c r="B111" s="5">
        <v>10644.74</v>
      </c>
      <c r="C111" s="7">
        <v>173.0</v>
      </c>
      <c r="D111" s="7">
        <v>15.85</v>
      </c>
      <c r="E111" s="7">
        <v>204.5</v>
      </c>
      <c r="F111" s="8">
        <v>0.15403422982885084</v>
      </c>
      <c r="G111" s="7">
        <v>128.0</v>
      </c>
      <c r="H111" s="8">
        <v>0.3515625</v>
      </c>
      <c r="I111" s="7">
        <v>170.9</v>
      </c>
      <c r="J111" s="8">
        <v>0.012287887653598561</v>
      </c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>
      <c r="A112" s="4" t="s">
        <v>121</v>
      </c>
      <c r="B112" s="5">
        <v>5686.243</v>
      </c>
      <c r="C112" s="7">
        <v>499.35</v>
      </c>
      <c r="D112" s="7">
        <v>39.43</v>
      </c>
      <c r="E112" s="7">
        <v>833.0</v>
      </c>
      <c r="F112" s="8">
        <v>0.40054021608643453</v>
      </c>
      <c r="G112" s="7">
        <v>468.0</v>
      </c>
      <c r="H112" s="8">
        <v>0.06698717948717954</v>
      </c>
      <c r="I112" s="7">
        <v>494.9</v>
      </c>
      <c r="J112" s="8">
        <v>0.008991715498080513</v>
      </c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>
      <c r="A113" s="4" t="s">
        <v>122</v>
      </c>
      <c r="B113" s="5">
        <v>10284.2865</v>
      </c>
      <c r="C113" s="7">
        <v>807.2</v>
      </c>
      <c r="D113" s="7">
        <v>21.59</v>
      </c>
      <c r="E113" s="7">
        <v>1096.05</v>
      </c>
      <c r="F113" s="8">
        <v>0.263537247388349</v>
      </c>
      <c r="G113" s="7">
        <v>595.0</v>
      </c>
      <c r="H113" s="8">
        <v>0.35663865546218493</v>
      </c>
      <c r="I113" s="7">
        <v>812.9</v>
      </c>
      <c r="J113" s="8">
        <v>-0.007011932587033992</v>
      </c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>
      <c r="A114" s="4" t="s">
        <v>123</v>
      </c>
      <c r="B114" s="5">
        <v>9847.33486</v>
      </c>
      <c r="C114" s="7">
        <v>576.5</v>
      </c>
      <c r="D114" s="7">
        <v>17.05</v>
      </c>
      <c r="E114" s="7">
        <v>668.15</v>
      </c>
      <c r="F114" s="8">
        <v>0.13716979720122724</v>
      </c>
      <c r="G114" s="7">
        <v>438.05</v>
      </c>
      <c r="H114" s="8">
        <v>0.31605981052391274</v>
      </c>
      <c r="I114" s="7">
        <v>590.95</v>
      </c>
      <c r="J114" s="8">
        <v>-0.02445215331246306</v>
      </c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>
      <c r="A115" s="4" t="s">
        <v>124</v>
      </c>
      <c r="B115" s="5">
        <v>7415.8287656</v>
      </c>
      <c r="C115" s="7">
        <v>1190.8</v>
      </c>
      <c r="D115" s="7">
        <v>32.12</v>
      </c>
      <c r="E115" s="7">
        <v>1919.0</v>
      </c>
      <c r="F115" s="8">
        <v>0.37946847316310583</v>
      </c>
      <c r="G115" s="7">
        <v>1052.6</v>
      </c>
      <c r="H115" s="8">
        <v>0.1312939388181646</v>
      </c>
      <c r="I115" s="7">
        <v>1197.6</v>
      </c>
      <c r="J115" s="8">
        <v>-0.005678022712090811</v>
      </c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>
      <c r="A116" s="4" t="s">
        <v>125</v>
      </c>
      <c r="B116" s="5">
        <v>7672.4308321</v>
      </c>
      <c r="C116" s="7">
        <v>289.4</v>
      </c>
      <c r="D116" s="7">
        <v>36.41</v>
      </c>
      <c r="E116" s="7">
        <v>501.6</v>
      </c>
      <c r="F116" s="8">
        <v>0.4230462519936205</v>
      </c>
      <c r="G116" s="7">
        <v>274.35</v>
      </c>
      <c r="H116" s="8">
        <v>0.05485693457262604</v>
      </c>
      <c r="I116" s="7">
        <v>289.25</v>
      </c>
      <c r="J116" s="8">
        <v>5.185825410543726E-4</v>
      </c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>
      <c r="A117" s="4" t="s">
        <v>126</v>
      </c>
      <c r="B117" s="5">
        <v>10126.79307</v>
      </c>
      <c r="C117" s="7">
        <v>73.6</v>
      </c>
      <c r="D117" s="7">
        <v>36.15</v>
      </c>
      <c r="E117" s="7">
        <v>101.35</v>
      </c>
      <c r="F117" s="8">
        <v>0.2738036507153429</v>
      </c>
      <c r="G117" s="7">
        <v>51.55</v>
      </c>
      <c r="H117" s="8">
        <v>0.42774005819592625</v>
      </c>
      <c r="I117" s="7">
        <v>72.4</v>
      </c>
      <c r="J117" s="8">
        <v>0.01657458563535896</v>
      </c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>
      <c r="A118" s="4" t="s">
        <v>127</v>
      </c>
      <c r="B118" s="5">
        <v>8445.006</v>
      </c>
      <c r="C118" s="7">
        <v>853.05</v>
      </c>
      <c r="D118" s="7">
        <v>15.67</v>
      </c>
      <c r="E118" s="7">
        <v>925.0</v>
      </c>
      <c r="F118" s="8">
        <v>0.07778378378378384</v>
      </c>
      <c r="G118" s="7">
        <v>666.35</v>
      </c>
      <c r="H118" s="8">
        <v>0.2801830869663089</v>
      </c>
      <c r="I118" s="7">
        <v>862.5</v>
      </c>
      <c r="J118" s="8">
        <v>-0.010956521739130488</v>
      </c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>
      <c r="A119" s="4" t="s">
        <v>128</v>
      </c>
      <c r="B119" s="5">
        <v>10287.9254057</v>
      </c>
      <c r="C119" s="7">
        <v>121.55</v>
      </c>
      <c r="D119" s="7">
        <v>8.7</v>
      </c>
      <c r="E119" s="7">
        <v>173.75</v>
      </c>
      <c r="F119" s="8">
        <v>0.300431654676259</v>
      </c>
      <c r="G119" s="7">
        <v>81.5</v>
      </c>
      <c r="H119" s="8">
        <v>0.4914110429447852</v>
      </c>
      <c r="I119" s="7">
        <v>120.15</v>
      </c>
      <c r="J119" s="8">
        <v>0.011652101539741918</v>
      </c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>
      <c r="A120" s="4" t="s">
        <v>129</v>
      </c>
      <c r="B120" s="5">
        <v>6297.527</v>
      </c>
      <c r="C120" s="7">
        <v>1870.0</v>
      </c>
      <c r="D120" s="7">
        <v>49.07</v>
      </c>
      <c r="E120" s="7">
        <v>4023.65</v>
      </c>
      <c r="F120" s="8">
        <v>0.5352478471039976</v>
      </c>
      <c r="G120" s="7">
        <v>1844.15</v>
      </c>
      <c r="H120" s="8">
        <v>0.014017297942141316</v>
      </c>
      <c r="I120" s="7">
        <v>1876.0</v>
      </c>
      <c r="J120" s="8">
        <v>-0.0031982942430703624</v>
      </c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>
      <c r="A121" s="4" t="s">
        <v>130</v>
      </c>
      <c r="B121" s="5">
        <v>8584.669055</v>
      </c>
      <c r="C121" s="7">
        <v>891.5</v>
      </c>
      <c r="D121" s="7">
        <v>61.12</v>
      </c>
      <c r="E121" s="7">
        <v>1044.4</v>
      </c>
      <c r="F121" s="8">
        <v>0.14639984680199164</v>
      </c>
      <c r="G121" s="7">
        <v>652.3</v>
      </c>
      <c r="H121" s="8">
        <v>0.36670243752874454</v>
      </c>
      <c r="I121" s="7">
        <v>897.9</v>
      </c>
      <c r="J121" s="8">
        <v>-0.00712774251030179</v>
      </c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>
      <c r="A122" s="4" t="s">
        <v>131</v>
      </c>
      <c r="B122" s="5">
        <v>4868.970546</v>
      </c>
      <c r="C122" s="7">
        <v>1555.0</v>
      </c>
      <c r="D122" s="7">
        <v>7.36</v>
      </c>
      <c r="E122" s="7">
        <v>2870.0</v>
      </c>
      <c r="F122" s="8">
        <v>0.45818815331010454</v>
      </c>
      <c r="G122" s="7">
        <v>1463.3</v>
      </c>
      <c r="H122" s="8">
        <v>0.062666575548418</v>
      </c>
      <c r="I122" s="7">
        <v>1559.1</v>
      </c>
      <c r="J122" s="8">
        <v>-0.0026297222756718037</v>
      </c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>
      <c r="A123" s="4" t="s">
        <v>132</v>
      </c>
      <c r="B123" s="5">
        <v>8104.163</v>
      </c>
      <c r="C123" s="7">
        <v>582.0</v>
      </c>
      <c r="D123" s="7">
        <v>19.25</v>
      </c>
      <c r="E123" s="7">
        <v>694.5</v>
      </c>
      <c r="F123" s="8">
        <v>0.16198704103671707</v>
      </c>
      <c r="G123" s="7">
        <v>457.58</v>
      </c>
      <c r="H123" s="8">
        <v>0.2719087372699856</v>
      </c>
      <c r="I123" s="7">
        <v>574.4</v>
      </c>
      <c r="J123" s="8">
        <v>0.013231197771587783</v>
      </c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>
      <c r="A124" s="4" t="s">
        <v>133</v>
      </c>
      <c r="B124" s="5">
        <v>8815.8228535</v>
      </c>
      <c r="C124" s="7">
        <v>3515.05</v>
      </c>
      <c r="D124" s="7">
        <v>95.35</v>
      </c>
      <c r="E124" s="7">
        <v>3619.7</v>
      </c>
      <c r="F124" s="8">
        <v>0.028911235737768225</v>
      </c>
      <c r="G124" s="7">
        <v>2437.75</v>
      </c>
      <c r="H124" s="8">
        <v>0.44192390524048825</v>
      </c>
      <c r="I124" s="7">
        <v>3443.4</v>
      </c>
      <c r="J124" s="8">
        <v>0.020807922402276847</v>
      </c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>
      <c r="A125" s="4" t="s">
        <v>134</v>
      </c>
      <c r="B125" s="5">
        <v>7452.986336</v>
      </c>
      <c r="C125" s="7">
        <v>367.25</v>
      </c>
      <c r="D125" s="7">
        <v>49.25</v>
      </c>
      <c r="E125" s="7">
        <v>617.4</v>
      </c>
      <c r="F125" s="8">
        <v>0.4051668286362164</v>
      </c>
      <c r="G125" s="7">
        <v>305.25</v>
      </c>
      <c r="H125" s="8">
        <v>0.2031122031122031</v>
      </c>
      <c r="I125" s="7">
        <v>368.4</v>
      </c>
      <c r="J125" s="8">
        <v>-0.003121606948968451</v>
      </c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>
      <c r="A126" s="4" t="s">
        <v>135</v>
      </c>
      <c r="B126" s="5">
        <v>6488.72245</v>
      </c>
      <c r="C126" s="7">
        <v>353.0</v>
      </c>
      <c r="D126" s="7">
        <v>35.19</v>
      </c>
      <c r="E126" s="7">
        <v>461.5</v>
      </c>
      <c r="F126" s="8">
        <v>0.23510292524377033</v>
      </c>
      <c r="G126" s="7">
        <v>289.05</v>
      </c>
      <c r="H126" s="8">
        <v>0.22124199965403904</v>
      </c>
      <c r="I126" s="7">
        <v>355.1</v>
      </c>
      <c r="J126" s="8">
        <v>-0.005913827090960356</v>
      </c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>
      <c r="A127" s="4" t="s">
        <v>136</v>
      </c>
      <c r="B127" s="5">
        <v>7451.4657292</v>
      </c>
      <c r="C127" s="7">
        <v>873.25</v>
      </c>
      <c r="D127" s="7">
        <v>20.88</v>
      </c>
      <c r="E127" s="7">
        <v>958.0</v>
      </c>
      <c r="F127" s="8">
        <v>0.08846555323590814</v>
      </c>
      <c r="G127" s="7">
        <v>642.0</v>
      </c>
      <c r="H127" s="8">
        <v>0.36020249221183803</v>
      </c>
      <c r="I127" s="7">
        <v>861.2</v>
      </c>
      <c r="J127" s="8">
        <v>0.013992104040873147</v>
      </c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>
      <c r="A128" s="4" t="s">
        <v>137</v>
      </c>
      <c r="B128" s="5">
        <v>7705.431</v>
      </c>
      <c r="C128" s="7">
        <v>318.6</v>
      </c>
      <c r="D128" s="7">
        <v>16.36</v>
      </c>
      <c r="E128" s="7">
        <v>381.25</v>
      </c>
      <c r="F128" s="8">
        <v>0.16432786885245895</v>
      </c>
      <c r="G128" s="7">
        <v>227.0</v>
      </c>
      <c r="H128" s="8">
        <v>0.40352422907489</v>
      </c>
      <c r="I128" s="7">
        <v>318.15</v>
      </c>
      <c r="J128" s="8">
        <v>0.0014144271570015574</v>
      </c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>
      <c r="A129" s="4" t="s">
        <v>138</v>
      </c>
      <c r="B129" s="5">
        <v>6985.583</v>
      </c>
      <c r="C129" s="7">
        <v>1795.0</v>
      </c>
      <c r="D129" s="7">
        <v>49.5</v>
      </c>
      <c r="E129" s="7">
        <v>2249.0</v>
      </c>
      <c r="F129" s="8">
        <v>0.20186749666518453</v>
      </c>
      <c r="G129" s="7">
        <v>1444.5</v>
      </c>
      <c r="H129" s="8">
        <v>0.24264451367255105</v>
      </c>
      <c r="I129" s="7">
        <v>1807.4</v>
      </c>
      <c r="J129" s="8">
        <v>-0.006860683855261752</v>
      </c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>
      <c r="A130" s="4" t="s">
        <v>139</v>
      </c>
      <c r="B130" s="5">
        <v>4785.1628071</v>
      </c>
      <c r="C130" s="7">
        <v>211.35</v>
      </c>
      <c r="D130" s="7">
        <v>13.73</v>
      </c>
      <c r="E130" s="7">
        <v>496.1</v>
      </c>
      <c r="F130" s="8">
        <v>0.5739770207619431</v>
      </c>
      <c r="G130" s="7">
        <v>202.0</v>
      </c>
      <c r="H130" s="8">
        <v>0.04628712871287126</v>
      </c>
      <c r="I130" s="7">
        <v>212.4</v>
      </c>
      <c r="J130" s="8">
        <v>-0.00494350282485881</v>
      </c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>
      <c r="A131" s="4" t="s">
        <v>140</v>
      </c>
      <c r="B131" s="5">
        <v>5153.9576635</v>
      </c>
      <c r="C131" s="7">
        <v>1714.7</v>
      </c>
      <c r="D131" s="7">
        <v>17.12</v>
      </c>
      <c r="E131" s="7">
        <v>3410.85</v>
      </c>
      <c r="F131" s="8">
        <v>0.49728073647331306</v>
      </c>
      <c r="G131" s="7">
        <v>1492.0</v>
      </c>
      <c r="H131" s="8">
        <v>0.14926273458445044</v>
      </c>
      <c r="I131" s="7">
        <v>1693.7</v>
      </c>
      <c r="J131" s="8">
        <v>0.012398890004132962</v>
      </c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>
      <c r="A132" s="4" t="s">
        <v>141</v>
      </c>
      <c r="B132" s="5">
        <v>6152.5851506</v>
      </c>
      <c r="C132" s="7">
        <v>3024.95</v>
      </c>
      <c r="D132" s="7">
        <v>37.14</v>
      </c>
      <c r="E132" s="7">
        <v>3754.85</v>
      </c>
      <c r="F132" s="8">
        <v>0.19438859075595566</v>
      </c>
      <c r="G132" s="7">
        <v>2619.8</v>
      </c>
      <c r="H132" s="8">
        <v>0.1546492098633482</v>
      </c>
      <c r="I132" s="7">
        <v>3026.7</v>
      </c>
      <c r="J132" s="8">
        <v>-5.781874648957611E-4</v>
      </c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>
      <c r="A133" s="4" t="s">
        <v>142</v>
      </c>
      <c r="B133" s="5">
        <v>7046.8192293</v>
      </c>
      <c r="C133" s="7">
        <v>1567.45</v>
      </c>
      <c r="D133" s="7">
        <v>53.87</v>
      </c>
      <c r="E133" s="7">
        <v>2110.0</v>
      </c>
      <c r="F133" s="8">
        <v>0.25713270142180095</v>
      </c>
      <c r="G133" s="7">
        <v>1256.67</v>
      </c>
      <c r="H133" s="8">
        <v>0.24730438380800046</v>
      </c>
      <c r="I133" s="7">
        <v>1576.95</v>
      </c>
      <c r="J133" s="8">
        <v>-0.006024287390215289</v>
      </c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>
      <c r="A134" s="4" t="s">
        <v>143</v>
      </c>
      <c r="B134" s="5">
        <v>6810.58629</v>
      </c>
      <c r="C134" s="7">
        <v>171.0</v>
      </c>
      <c r="D134" s="10" t="s">
        <v>15</v>
      </c>
      <c r="E134" s="7">
        <v>279.7</v>
      </c>
      <c r="F134" s="8">
        <v>0.38863067572398996</v>
      </c>
      <c r="G134" s="7">
        <v>128.6</v>
      </c>
      <c r="H134" s="8">
        <v>0.32970451010886476</v>
      </c>
      <c r="I134" s="7">
        <v>170.15</v>
      </c>
      <c r="J134" s="8">
        <v>0.004995592124595911</v>
      </c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>
      <c r="A135" s="4" t="s">
        <v>144</v>
      </c>
      <c r="B135" s="5">
        <v>5679.5794914</v>
      </c>
      <c r="C135" s="7">
        <v>267.2</v>
      </c>
      <c r="D135" s="7">
        <v>53.9</v>
      </c>
      <c r="E135" s="7">
        <v>372.2</v>
      </c>
      <c r="F135" s="8">
        <v>0.2821063944116067</v>
      </c>
      <c r="G135" s="7">
        <v>244.0</v>
      </c>
      <c r="H135" s="8">
        <v>0.09508196721311471</v>
      </c>
      <c r="I135" s="7">
        <v>268.4</v>
      </c>
      <c r="J135" s="8">
        <v>-0.004470938897168364</v>
      </c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>
      <c r="A136" s="4" t="s">
        <v>145</v>
      </c>
      <c r="B136" s="5">
        <v>5305.4035808</v>
      </c>
      <c r="C136" s="7">
        <v>389.4</v>
      </c>
      <c r="D136" s="7">
        <v>21.44</v>
      </c>
      <c r="E136" s="7">
        <v>638.8</v>
      </c>
      <c r="F136" s="8">
        <v>0.39041953663118345</v>
      </c>
      <c r="G136" s="7">
        <v>364.1</v>
      </c>
      <c r="H136" s="8">
        <v>0.06948640483383672</v>
      </c>
      <c r="I136" s="7">
        <v>388.7</v>
      </c>
      <c r="J136" s="8">
        <v>0.001800874710573678</v>
      </c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>
      <c r="A137" s="4" t="s">
        <v>146</v>
      </c>
      <c r="B137" s="5">
        <v>6919.97</v>
      </c>
      <c r="C137" s="7">
        <v>5294.0</v>
      </c>
      <c r="D137" s="7">
        <v>37.0</v>
      </c>
      <c r="E137" s="7">
        <v>6067.95</v>
      </c>
      <c r="F137" s="8">
        <v>0.1275471946868382</v>
      </c>
      <c r="G137" s="7">
        <v>3518.6</v>
      </c>
      <c r="H137" s="8">
        <v>0.5045756835104872</v>
      </c>
      <c r="I137" s="7">
        <v>5320.0</v>
      </c>
      <c r="J137" s="8">
        <v>-0.004887218045112782</v>
      </c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>
      <c r="A138" s="4" t="s">
        <v>147</v>
      </c>
      <c r="B138" s="5">
        <v>7324.341471</v>
      </c>
      <c r="C138" s="7">
        <v>3465.1</v>
      </c>
      <c r="D138" s="7">
        <v>35.75</v>
      </c>
      <c r="E138" s="7">
        <v>3709.95</v>
      </c>
      <c r="F138" s="8">
        <v>0.06599819404574184</v>
      </c>
      <c r="G138" s="7">
        <v>1845.0</v>
      </c>
      <c r="H138" s="8">
        <v>0.8781029810298102</v>
      </c>
      <c r="I138" s="7">
        <v>3461.8</v>
      </c>
      <c r="J138" s="8">
        <v>9.532613091454524E-4</v>
      </c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>
      <c r="A139" s="4" t="s">
        <v>148</v>
      </c>
      <c r="B139" s="5">
        <v>3941.666</v>
      </c>
      <c r="C139" s="7">
        <v>9517.9</v>
      </c>
      <c r="D139" s="7">
        <v>23.12</v>
      </c>
      <c r="E139" s="7">
        <v>14362.9</v>
      </c>
      <c r="F139" s="8">
        <v>0.3373274199500101</v>
      </c>
      <c r="G139" s="7">
        <v>9301.0</v>
      </c>
      <c r="H139" s="8">
        <v>0.023320073110418196</v>
      </c>
      <c r="I139" s="7">
        <v>9497.7</v>
      </c>
      <c r="J139" s="8">
        <v>0.00212683070638143</v>
      </c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>
      <c r="A140" s="4" t="s">
        <v>149</v>
      </c>
      <c r="B140" s="5">
        <v>4230.867</v>
      </c>
      <c r="C140" s="7">
        <v>186.9</v>
      </c>
      <c r="D140" s="7">
        <v>23.18</v>
      </c>
      <c r="E140" s="7">
        <v>242.0</v>
      </c>
      <c r="F140" s="8">
        <v>0.22768595041322312</v>
      </c>
      <c r="G140" s="7">
        <v>164.0</v>
      </c>
      <c r="H140" s="8">
        <v>0.13963414634146346</v>
      </c>
      <c r="I140" s="7">
        <v>186.85</v>
      </c>
      <c r="J140" s="8">
        <v>2.6759432700032847E-4</v>
      </c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>
      <c r="A141" s="4" t="s">
        <v>150</v>
      </c>
      <c r="B141" s="5">
        <v>3279.733</v>
      </c>
      <c r="C141" s="7">
        <v>1669.3</v>
      </c>
      <c r="D141" s="7">
        <v>33.56</v>
      </c>
      <c r="E141" s="7">
        <v>2285.65</v>
      </c>
      <c r="F141" s="8">
        <v>0.2696607092074465</v>
      </c>
      <c r="G141" s="7">
        <v>1276.15</v>
      </c>
      <c r="H141" s="8">
        <v>0.30807506954511604</v>
      </c>
      <c r="I141" s="7">
        <v>1635.25</v>
      </c>
      <c r="J141" s="8">
        <v>0.020822504204250088</v>
      </c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>
      <c r="A142" s="4" t="s">
        <v>151</v>
      </c>
      <c r="B142" s="5">
        <v>4148.48</v>
      </c>
      <c r="C142" s="7">
        <v>448.0</v>
      </c>
      <c r="D142" s="7">
        <v>22.17</v>
      </c>
      <c r="E142" s="7">
        <v>537.4</v>
      </c>
      <c r="F142" s="8">
        <v>0.16635653144771118</v>
      </c>
      <c r="G142" s="7">
        <v>378.4</v>
      </c>
      <c r="H142" s="8">
        <v>0.18393234672304448</v>
      </c>
      <c r="I142" s="7">
        <v>445.5</v>
      </c>
      <c r="J142" s="8">
        <v>0.005611672278338945</v>
      </c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>
      <c r="A143" s="4" t="s">
        <v>152</v>
      </c>
      <c r="B143" s="5">
        <v>6367.8328518</v>
      </c>
      <c r="C143" s="7">
        <v>1227.1</v>
      </c>
      <c r="D143" s="7">
        <v>59.65</v>
      </c>
      <c r="E143" s="7">
        <v>1480.0</v>
      </c>
      <c r="F143" s="8">
        <v>0.17087837837837844</v>
      </c>
      <c r="G143" s="7">
        <v>575.0</v>
      </c>
      <c r="H143" s="8">
        <v>1.134086956521739</v>
      </c>
      <c r="I143" s="7">
        <v>1161.25</v>
      </c>
      <c r="J143" s="8">
        <v>0.05670613562970929</v>
      </c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>
      <c r="A144" s="4" t="s">
        <v>153</v>
      </c>
      <c r="B144" s="5">
        <v>3024.4291291</v>
      </c>
      <c r="C144" s="7">
        <v>571.8</v>
      </c>
      <c r="D144" s="7">
        <v>35.81</v>
      </c>
      <c r="E144" s="7">
        <v>1087.0</v>
      </c>
      <c r="F144" s="8">
        <v>0.4739650413983441</v>
      </c>
      <c r="G144" s="7">
        <v>562.1</v>
      </c>
      <c r="H144" s="8">
        <v>0.01725671588685275</v>
      </c>
      <c r="I144" s="7">
        <v>574.7</v>
      </c>
      <c r="J144" s="8">
        <v>-0.005046111014442476</v>
      </c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>
      <c r="A145" s="4" t="s">
        <v>154</v>
      </c>
      <c r="B145" s="5">
        <v>3099.3320457</v>
      </c>
      <c r="C145" s="7">
        <v>1242.8</v>
      </c>
      <c r="D145" s="7">
        <v>68.51</v>
      </c>
      <c r="E145" s="7">
        <v>1842.2</v>
      </c>
      <c r="F145" s="8">
        <v>0.32537183801975905</v>
      </c>
      <c r="G145" s="7">
        <v>1201.25</v>
      </c>
      <c r="H145" s="8">
        <v>0.0345889698231009</v>
      </c>
      <c r="I145" s="7">
        <v>1229.5</v>
      </c>
      <c r="J145" s="8">
        <v>0.010817405449369625</v>
      </c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>
      <c r="A146" s="4" t="s">
        <v>155</v>
      </c>
      <c r="B146" s="5">
        <v>3345.7206687</v>
      </c>
      <c r="C146" s="7">
        <v>717.5</v>
      </c>
      <c r="D146" s="7">
        <v>15.26</v>
      </c>
      <c r="E146" s="7">
        <v>815.0</v>
      </c>
      <c r="F146" s="8">
        <v>0.1196319018404908</v>
      </c>
      <c r="G146" s="7">
        <v>630.65</v>
      </c>
      <c r="H146" s="8">
        <v>0.13771505589471184</v>
      </c>
      <c r="I146" s="7">
        <v>724.95</v>
      </c>
      <c r="J146" s="8">
        <v>-0.01027657079798613</v>
      </c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>
      <c r="A147" s="4" t="s">
        <v>156</v>
      </c>
      <c r="B147" s="5">
        <v>3094.098595</v>
      </c>
      <c r="C147" s="7">
        <v>276.7</v>
      </c>
      <c r="D147" s="7">
        <v>32.26</v>
      </c>
      <c r="E147" s="7">
        <v>354.9</v>
      </c>
      <c r="F147" s="8">
        <v>0.22034375880529725</v>
      </c>
      <c r="G147" s="7">
        <v>258.4</v>
      </c>
      <c r="H147" s="8">
        <v>0.07082043343653256</v>
      </c>
      <c r="I147" s="7">
        <v>278.9</v>
      </c>
      <c r="J147" s="8">
        <v>-0.007888131946934345</v>
      </c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>
      <c r="A148" s="4" t="s">
        <v>157</v>
      </c>
      <c r="B148" s="5">
        <v>2618.5195811</v>
      </c>
      <c r="C148" s="7">
        <v>393.65</v>
      </c>
      <c r="D148" s="7">
        <v>19.15</v>
      </c>
      <c r="E148" s="7">
        <v>666.0</v>
      </c>
      <c r="F148" s="8">
        <v>0.40893393393393396</v>
      </c>
      <c r="G148" s="7">
        <v>372.4</v>
      </c>
      <c r="H148" s="8">
        <v>0.057062298603651994</v>
      </c>
      <c r="I148" s="7">
        <v>394.45</v>
      </c>
      <c r="J148" s="8">
        <v>-0.002028140448726103</v>
      </c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>
      <c r="A149" s="4" t="s">
        <v>158</v>
      </c>
      <c r="B149" s="5">
        <v>2664.205</v>
      </c>
      <c r="C149" s="7">
        <v>382.15</v>
      </c>
      <c r="D149" s="7">
        <v>17.49</v>
      </c>
      <c r="E149" s="7">
        <v>671.0</v>
      </c>
      <c r="F149" s="8">
        <v>0.43047690014903134</v>
      </c>
      <c r="G149" s="7">
        <v>320.85</v>
      </c>
      <c r="H149" s="8">
        <v>0.19105501012934378</v>
      </c>
      <c r="I149" s="7">
        <v>362.3</v>
      </c>
      <c r="J149" s="8">
        <v>0.05478884902014895</v>
      </c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>
      <c r="A150" s="4" t="s">
        <v>159</v>
      </c>
      <c r="B150" s="5">
        <v>2119.46</v>
      </c>
      <c r="C150" s="7">
        <v>85.4</v>
      </c>
      <c r="D150" s="7">
        <v>302.86</v>
      </c>
      <c r="E150" s="7">
        <v>204.45</v>
      </c>
      <c r="F150" s="8">
        <v>0.582293959403277</v>
      </c>
      <c r="G150" s="7">
        <v>81.4</v>
      </c>
      <c r="H150" s="8">
        <v>0.04914004914004914</v>
      </c>
      <c r="I150" s="7">
        <v>85.45</v>
      </c>
      <c r="J150" s="8">
        <v>-5.851375073141856E-4</v>
      </c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>
      <c r="A151" s="4" t="s">
        <v>160</v>
      </c>
      <c r="B151" s="5">
        <v>3279.606</v>
      </c>
      <c r="C151" s="7">
        <v>988.1</v>
      </c>
      <c r="D151" s="7">
        <v>41.73</v>
      </c>
      <c r="E151" s="7">
        <v>1057.85</v>
      </c>
      <c r="F151" s="8">
        <v>0.06593562414330945</v>
      </c>
      <c r="G151" s="7">
        <v>648.05</v>
      </c>
      <c r="H151" s="8">
        <v>0.52472803024458</v>
      </c>
      <c r="I151" s="7">
        <v>991.35</v>
      </c>
      <c r="J151" s="8">
        <v>-0.0032783577949261106</v>
      </c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>
      <c r="A152" s="4" t="s">
        <v>161</v>
      </c>
      <c r="B152" s="5">
        <v>2676.336957</v>
      </c>
      <c r="C152" s="7">
        <v>10430.0</v>
      </c>
      <c r="D152" s="7">
        <v>139.72</v>
      </c>
      <c r="E152" s="7">
        <v>14131.25</v>
      </c>
      <c r="F152" s="8">
        <v>0.26191950464396285</v>
      </c>
      <c r="G152" s="7">
        <v>8050.0</v>
      </c>
      <c r="H152" s="8">
        <v>0.2956521739130435</v>
      </c>
      <c r="I152" s="7">
        <v>10411.1</v>
      </c>
      <c r="J152" s="8">
        <v>0.0018153701337994673</v>
      </c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>
      <c r="A153" s="4" t="s">
        <v>162</v>
      </c>
      <c r="B153" s="5">
        <v>1923.4465903</v>
      </c>
      <c r="C153" s="7">
        <v>481.35</v>
      </c>
      <c r="D153" s="7">
        <v>10.9</v>
      </c>
      <c r="E153" s="7">
        <v>744.15</v>
      </c>
      <c r="F153" s="8">
        <v>0.3531546059262245</v>
      </c>
      <c r="G153" s="7">
        <v>477.8</v>
      </c>
      <c r="H153" s="8">
        <v>0.007429886982000861</v>
      </c>
      <c r="I153" s="7">
        <v>481.85</v>
      </c>
      <c r="J153" s="8">
        <v>-0.0010376673238559717</v>
      </c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>
      <c r="A154" s="4" t="s">
        <v>163</v>
      </c>
      <c r="B154" s="5">
        <v>2250.9146116</v>
      </c>
      <c r="C154" s="7">
        <v>577.8</v>
      </c>
      <c r="D154" s="7">
        <v>67.14</v>
      </c>
      <c r="E154" s="7">
        <v>811.35</v>
      </c>
      <c r="F154" s="8">
        <v>0.28785357737104833</v>
      </c>
      <c r="G154" s="7">
        <v>524.3</v>
      </c>
      <c r="H154" s="8">
        <v>0.10204081632653061</v>
      </c>
      <c r="I154" s="7">
        <v>583.75</v>
      </c>
      <c r="J154" s="8">
        <v>-0.010192719486081449</v>
      </c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>
      <c r="A155" s="4" t="s">
        <v>164</v>
      </c>
      <c r="B155" s="5">
        <v>2340.128</v>
      </c>
      <c r="C155" s="7">
        <v>386.0</v>
      </c>
      <c r="D155" s="7">
        <v>13.46</v>
      </c>
      <c r="E155" s="7">
        <v>519.55</v>
      </c>
      <c r="F155" s="8">
        <v>0.2570493696468097</v>
      </c>
      <c r="G155" s="7">
        <v>301.1</v>
      </c>
      <c r="H155" s="8">
        <v>0.2819661242112254</v>
      </c>
      <c r="I155" s="7">
        <v>381.5</v>
      </c>
      <c r="J155" s="8">
        <v>0.011795543905635648</v>
      </c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>
      <c r="A156" s="4" t="s">
        <v>165</v>
      </c>
      <c r="B156" s="5">
        <v>3335.191069</v>
      </c>
      <c r="C156" s="7">
        <v>462.25</v>
      </c>
      <c r="D156" s="7">
        <v>33.36</v>
      </c>
      <c r="E156" s="7">
        <v>480.4</v>
      </c>
      <c r="F156" s="8">
        <v>0.03778101582014983</v>
      </c>
      <c r="G156" s="7">
        <v>258.95</v>
      </c>
      <c r="H156" s="8">
        <v>0.7850936474222824</v>
      </c>
      <c r="I156" s="7">
        <v>473.2</v>
      </c>
      <c r="J156" s="8">
        <v>-0.02314032121724427</v>
      </c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>
      <c r="A157" s="4" t="s">
        <v>166</v>
      </c>
      <c r="B157" s="5">
        <v>1794.6404408</v>
      </c>
      <c r="C157" s="7">
        <v>411.45</v>
      </c>
      <c r="D157" s="10" t="s">
        <v>15</v>
      </c>
      <c r="E157" s="7">
        <v>528.35</v>
      </c>
      <c r="F157" s="8">
        <v>0.22125485000473177</v>
      </c>
      <c r="G157" s="7">
        <v>366.05</v>
      </c>
      <c r="H157" s="8">
        <v>0.1240267722988662</v>
      </c>
      <c r="I157" s="7">
        <v>412.2</v>
      </c>
      <c r="J157" s="8">
        <v>-0.001819505094614265</v>
      </c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>
      <c r="A158" s="4" t="s">
        <v>167</v>
      </c>
      <c r="B158" s="5">
        <v>1954.368</v>
      </c>
      <c r="C158" s="7">
        <v>118.6</v>
      </c>
      <c r="D158" s="7">
        <v>8.27</v>
      </c>
      <c r="E158" s="7">
        <v>182.4</v>
      </c>
      <c r="F158" s="8">
        <v>0.349780701754386</v>
      </c>
      <c r="G158" s="7">
        <v>98.0</v>
      </c>
      <c r="H158" s="8">
        <v>0.210204081632653</v>
      </c>
      <c r="I158" s="7">
        <v>120.25</v>
      </c>
      <c r="J158" s="8">
        <v>-0.013721413721413769</v>
      </c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>
      <c r="A159" s="4" t="s">
        <v>168</v>
      </c>
      <c r="B159" s="5">
        <v>1991.1000155</v>
      </c>
      <c r="C159" s="7">
        <v>510.0</v>
      </c>
      <c r="D159" s="7">
        <v>64.75</v>
      </c>
      <c r="E159" s="7">
        <v>635.7</v>
      </c>
      <c r="F159" s="8">
        <v>0.1977347805568665</v>
      </c>
      <c r="G159" s="7">
        <v>395.0</v>
      </c>
      <c r="H159" s="8">
        <v>0.2911392405063291</v>
      </c>
      <c r="I159" s="7">
        <v>514.85</v>
      </c>
      <c r="J159" s="8">
        <v>-0.009420219481402394</v>
      </c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>
      <c r="A160" s="4" t="s">
        <v>169</v>
      </c>
      <c r="B160" s="5">
        <v>1482.073362</v>
      </c>
      <c r="C160" s="7">
        <v>638.25</v>
      </c>
      <c r="D160" s="10" t="s">
        <v>15</v>
      </c>
      <c r="E160" s="7">
        <v>649.7</v>
      </c>
      <c r="F160" s="8">
        <v>0.01762351854702177</v>
      </c>
      <c r="G160" s="7">
        <v>634.15</v>
      </c>
      <c r="H160" s="8">
        <v>0.006465347315303987</v>
      </c>
      <c r="I160" s="7">
        <v>636.85</v>
      </c>
      <c r="J160" s="8">
        <v>0.002198319855538945</v>
      </c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>
      <c r="A161" s="4" t="s">
        <v>170</v>
      </c>
      <c r="B161" s="5">
        <v>1059.9071153</v>
      </c>
      <c r="C161" s="7">
        <v>288.1</v>
      </c>
      <c r="D161" s="7">
        <v>15.51</v>
      </c>
      <c r="E161" s="7">
        <v>477.95</v>
      </c>
      <c r="F161" s="8">
        <v>0.3972172821424835</v>
      </c>
      <c r="G161" s="7">
        <v>261.0</v>
      </c>
      <c r="H161" s="8">
        <v>0.10383141762452117</v>
      </c>
      <c r="I161" s="7">
        <v>290.1</v>
      </c>
      <c r="J161" s="8">
        <v>-0.006894174422612891</v>
      </c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>
      <c r="A162" s="4" t="s">
        <v>171</v>
      </c>
      <c r="B162" s="5">
        <v>404.8024737</v>
      </c>
      <c r="C162" s="7">
        <v>404.35</v>
      </c>
      <c r="D162" s="10" t="s">
        <v>15</v>
      </c>
      <c r="E162" s="7">
        <v>1936.0</v>
      </c>
      <c r="F162" s="8">
        <v>0.7911415289256198</v>
      </c>
      <c r="G162" s="7">
        <v>401.0</v>
      </c>
      <c r="H162" s="8">
        <v>0.008354114713217014</v>
      </c>
      <c r="I162" s="7">
        <v>408.5</v>
      </c>
      <c r="J162" s="8">
        <v>-0.010159118727050128</v>
      </c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>
      <c r="A163" s="4" t="s">
        <v>172</v>
      </c>
      <c r="B163" s="5">
        <v>880.6892469</v>
      </c>
      <c r="C163" s="7">
        <v>4323.5</v>
      </c>
      <c r="D163" s="7">
        <v>23.13</v>
      </c>
      <c r="E163" s="7">
        <v>4759.6</v>
      </c>
      <c r="F163" s="8">
        <v>0.09162534666778728</v>
      </c>
      <c r="G163" s="7">
        <v>3654.0</v>
      </c>
      <c r="H163" s="8">
        <v>0.18322386425834702</v>
      </c>
      <c r="I163" s="7">
        <v>4310.6</v>
      </c>
      <c r="J163" s="8">
        <v>0.002992622836727981</v>
      </c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>
      <c r="A164" s="4" t="s">
        <v>173</v>
      </c>
      <c r="B164" s="5">
        <v>11060.0657861</v>
      </c>
      <c r="C164" s="7">
        <v>1601.0</v>
      </c>
      <c r="D164" s="7">
        <v>21.39</v>
      </c>
      <c r="E164" s="7">
        <v>1722.1</v>
      </c>
      <c r="F164" s="8">
        <v>0.0703211195633238</v>
      </c>
      <c r="G164" s="7">
        <v>1271.6</v>
      </c>
      <c r="H164" s="8">
        <v>0.2590437244416484</v>
      </c>
      <c r="I164" s="7">
        <v>1599.4</v>
      </c>
      <c r="J164" s="8">
        <v>0.0010003751406776973</v>
      </c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>
      <c r="A165" s="4" t="s">
        <v>174</v>
      </c>
      <c r="B165" s="5">
        <v>8463.6612353</v>
      </c>
      <c r="C165" s="7">
        <v>553.4</v>
      </c>
      <c r="D165" s="7">
        <v>15.6</v>
      </c>
      <c r="E165" s="7">
        <v>593.9</v>
      </c>
      <c r="F165" s="8">
        <v>0.06819329853510692</v>
      </c>
      <c r="G165" s="7">
        <v>343.5</v>
      </c>
      <c r="H165" s="8">
        <v>0.6110625909752546</v>
      </c>
      <c r="I165" s="7">
        <v>539.85</v>
      </c>
      <c r="J165" s="8">
        <v>0.02509956469389637</v>
      </c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>
      <c r="A166" s="4" t="s">
        <v>175</v>
      </c>
      <c r="B166" s="5">
        <v>15766.33509</v>
      </c>
      <c r="C166" s="7">
        <v>252.6</v>
      </c>
      <c r="D166" s="7">
        <v>23.69</v>
      </c>
      <c r="E166" s="7">
        <v>375.2</v>
      </c>
      <c r="F166" s="8">
        <v>0.3267590618336887</v>
      </c>
      <c r="G166" s="7">
        <v>241.05</v>
      </c>
      <c r="H166" s="8">
        <v>0.04791537025513372</v>
      </c>
      <c r="I166" s="7">
        <v>251.9</v>
      </c>
      <c r="J166" s="8">
        <v>0.002778880508138105</v>
      </c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>
      <c r="A167" s="4" t="s">
        <v>176</v>
      </c>
      <c r="B167" s="5">
        <v>47348.12</v>
      </c>
      <c r="C167" s="7">
        <v>22241.0</v>
      </c>
      <c r="D167" s="7">
        <v>53.6</v>
      </c>
      <c r="E167" s="7">
        <v>22499.0</v>
      </c>
      <c r="F167" s="8">
        <v>0.011467176318947508</v>
      </c>
      <c r="G167" s="7">
        <v>15514.0</v>
      </c>
      <c r="H167" s="8">
        <v>0.4336083537450045</v>
      </c>
      <c r="I167" s="7">
        <v>22162.55</v>
      </c>
      <c r="J167" s="8">
        <v>0.0035397551274560343</v>
      </c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>
      <c r="A168" s="4" t="s">
        <v>177</v>
      </c>
      <c r="B168" s="5">
        <v>287213.2945283</v>
      </c>
      <c r="C168" s="7">
        <v>933.9</v>
      </c>
      <c r="D168" s="7">
        <v>15.67</v>
      </c>
      <c r="E168" s="7">
        <v>970.0</v>
      </c>
      <c r="F168" s="8">
        <v>0.03721649484536085</v>
      </c>
      <c r="G168" s="7">
        <v>618.25</v>
      </c>
      <c r="H168" s="8">
        <v>0.5105539830165791</v>
      </c>
      <c r="I168" s="7">
        <v>935.55</v>
      </c>
      <c r="J168" s="8">
        <v>-0.0017636684303350728</v>
      </c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>
      <c r="A169" s="4" t="s">
        <v>178</v>
      </c>
      <c r="B169" s="5">
        <v>95565.8761753</v>
      </c>
      <c r="C169" s="7">
        <v>184.9</v>
      </c>
      <c r="D169" s="7">
        <v>9.72</v>
      </c>
      <c r="E169" s="7">
        <v>197.2</v>
      </c>
      <c r="F169" s="8">
        <v>0.06237322515212974</v>
      </c>
      <c r="G169" s="7">
        <v>89.9</v>
      </c>
      <c r="H169" s="8">
        <v>1.0567296996662958</v>
      </c>
      <c r="I169" s="7">
        <v>181.8</v>
      </c>
      <c r="J169" s="8">
        <v>0.01705170517051702</v>
      </c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>
      <c r="A170" s="4" t="s">
        <v>179</v>
      </c>
      <c r="B170" s="5">
        <v>535431.3246675</v>
      </c>
      <c r="C170" s="7">
        <v>600.05</v>
      </c>
      <c r="D170" s="7">
        <v>13.0</v>
      </c>
      <c r="E170" s="7">
        <v>629.65</v>
      </c>
      <c r="F170" s="8">
        <v>0.047010243786230484</v>
      </c>
      <c r="G170" s="7">
        <v>425.0</v>
      </c>
      <c r="H170" s="8">
        <v>0.41188235294117637</v>
      </c>
      <c r="I170" s="7">
        <v>595.0</v>
      </c>
      <c r="J170" s="8">
        <v>0.008487394957983117</v>
      </c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>
      <c r="A171" s="4" t="s">
        <v>180</v>
      </c>
      <c r="B171" s="5">
        <v>29278.4915846</v>
      </c>
      <c r="C171" s="7">
        <v>138.45</v>
      </c>
      <c r="D171" s="7">
        <v>11.78</v>
      </c>
      <c r="E171" s="7">
        <v>142.25</v>
      </c>
      <c r="F171" s="8">
        <v>0.0267135325131811</v>
      </c>
      <c r="G171" s="7">
        <v>82.5</v>
      </c>
      <c r="H171" s="8">
        <v>0.678181818181818</v>
      </c>
      <c r="I171" s="7">
        <v>135.05</v>
      </c>
      <c r="J171" s="8">
        <v>0.025175860792298978</v>
      </c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>
      <c r="A172" s="4" t="s">
        <v>181</v>
      </c>
      <c r="B172" s="5">
        <v>87098.03</v>
      </c>
      <c r="C172" s="7">
        <v>24025.0</v>
      </c>
      <c r="D172" s="7">
        <v>54.11</v>
      </c>
      <c r="E172" s="7">
        <v>27936.75</v>
      </c>
      <c r="F172" s="8">
        <v>0.14002165606235514</v>
      </c>
      <c r="G172" s="7">
        <v>17865.2</v>
      </c>
      <c r="H172" s="8">
        <v>0.34479322929494205</v>
      </c>
      <c r="I172" s="7">
        <v>23854.85</v>
      </c>
      <c r="J172" s="8">
        <v>0.007132721438198163</v>
      </c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>
      <c r="A173" s="4" t="s">
        <v>182</v>
      </c>
      <c r="B173" s="5">
        <v>7658.1331612</v>
      </c>
      <c r="C173" s="7">
        <v>1503.5</v>
      </c>
      <c r="D173" s="7">
        <v>27.61</v>
      </c>
      <c r="E173" s="7">
        <v>1953.7</v>
      </c>
      <c r="F173" s="8">
        <v>0.23043456006551674</v>
      </c>
      <c r="G173" s="7">
        <v>1355.5</v>
      </c>
      <c r="H173" s="8">
        <v>0.10918480265584656</v>
      </c>
      <c r="I173" s="7">
        <v>1480.55</v>
      </c>
      <c r="J173" s="8">
        <v>0.015500996251393095</v>
      </c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>
      <c r="A174" s="4" t="s">
        <v>183</v>
      </c>
      <c r="B174" s="5">
        <v>1620922.4391001</v>
      </c>
      <c r="C174" s="7">
        <v>2467.9</v>
      </c>
      <c r="D174" s="7">
        <v>25.09</v>
      </c>
      <c r="E174" s="7">
        <v>2856.15</v>
      </c>
      <c r="F174" s="8">
        <v>0.1359347373212191</v>
      </c>
      <c r="G174" s="7">
        <v>2180.0</v>
      </c>
      <c r="H174" s="8">
        <v>0.1320642201834863</v>
      </c>
      <c r="I174" s="7">
        <v>2471.6</v>
      </c>
      <c r="J174" s="8">
        <v>-0.0014970059880238785</v>
      </c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>
      <c r="A175" s="4" t="s">
        <v>184</v>
      </c>
      <c r="B175" s="5">
        <v>5515.515</v>
      </c>
      <c r="C175" s="7">
        <v>241.5</v>
      </c>
      <c r="D175" s="7">
        <v>12.67</v>
      </c>
      <c r="E175" s="7">
        <v>393.85</v>
      </c>
      <c r="F175" s="8">
        <v>0.38682239431255555</v>
      </c>
      <c r="G175" s="7">
        <v>169.25</v>
      </c>
      <c r="H175" s="8">
        <v>0.42688330871491875</v>
      </c>
      <c r="I175" s="7">
        <v>236.7</v>
      </c>
      <c r="J175" s="8">
        <v>0.020278833967046942</v>
      </c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>
      <c r="A176" s="4" t="s">
        <v>185</v>
      </c>
      <c r="B176" s="5">
        <v>1191.350885</v>
      </c>
      <c r="C176" s="7">
        <v>446.8</v>
      </c>
      <c r="D176" s="10" t="s">
        <v>15</v>
      </c>
      <c r="E176" s="7">
        <v>455.95</v>
      </c>
      <c r="F176" s="8">
        <v>0.020067989911174422</v>
      </c>
      <c r="G176" s="7">
        <v>444.0</v>
      </c>
      <c r="H176" s="8">
        <v>0.006306306306306332</v>
      </c>
      <c r="I176" s="7">
        <v>447.4</v>
      </c>
      <c r="J176" s="8">
        <v>-0.0013410818059900892</v>
      </c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>
      <c r="A177" s="4" t="s">
        <v>186</v>
      </c>
      <c r="B177" s="5">
        <v>129917.6</v>
      </c>
      <c r="C177" s="7">
        <v>604.0</v>
      </c>
      <c r="D177" s="7">
        <v>85.12</v>
      </c>
      <c r="E177" s="7">
        <v>678.8</v>
      </c>
      <c r="F177" s="8">
        <v>0.11019446081319971</v>
      </c>
      <c r="G177" s="7">
        <v>497.05</v>
      </c>
      <c r="H177" s="8">
        <v>0.21516950005029672</v>
      </c>
      <c r="I177" s="7">
        <v>598.4</v>
      </c>
      <c r="J177" s="8">
        <v>0.009358288770053515</v>
      </c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>
      <c r="A178" s="4" t="s">
        <v>187</v>
      </c>
      <c r="B178" s="5">
        <v>22430.59</v>
      </c>
      <c r="C178" s="7">
        <v>2900.45</v>
      </c>
      <c r="D178" s="7">
        <v>36.07</v>
      </c>
      <c r="E178" s="7">
        <v>3646.25</v>
      </c>
      <c r="F178" s="8">
        <v>0.2045389098388756</v>
      </c>
      <c r="G178" s="7">
        <v>2005.0</v>
      </c>
      <c r="H178" s="8">
        <v>0.4466084788029924</v>
      </c>
      <c r="I178" s="7">
        <v>2905.9</v>
      </c>
      <c r="J178" s="8">
        <v>-0.0018754946832307625</v>
      </c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>
      <c r="A179" s="4" t="s">
        <v>188</v>
      </c>
      <c r="B179" s="5">
        <v>67468.3198772</v>
      </c>
      <c r="C179" s="7">
        <v>468.9</v>
      </c>
      <c r="D179" s="7">
        <v>78.92</v>
      </c>
      <c r="E179" s="7">
        <v>648.85</v>
      </c>
      <c r="F179" s="8">
        <v>0.27733682669338067</v>
      </c>
      <c r="G179" s="7">
        <v>430.0</v>
      </c>
      <c r="H179" s="8">
        <v>0.09046511627906971</v>
      </c>
      <c r="I179" s="7">
        <v>464.7</v>
      </c>
      <c r="J179" s="8">
        <v>0.00903808908973529</v>
      </c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>
      <c r="A180" s="4" t="s">
        <v>189</v>
      </c>
      <c r="B180" s="5">
        <v>214719.0067183</v>
      </c>
      <c r="C180" s="7">
        <v>2417.65</v>
      </c>
      <c r="D180" s="7">
        <v>68.59</v>
      </c>
      <c r="E180" s="7">
        <v>2790.0</v>
      </c>
      <c r="F180" s="8">
        <v>0.13345878136200715</v>
      </c>
      <c r="G180" s="7">
        <v>1827.15</v>
      </c>
      <c r="H180" s="8">
        <v>0.32318091016063266</v>
      </c>
      <c r="I180" s="7">
        <v>2445.65</v>
      </c>
      <c r="J180" s="8">
        <v>-0.011448899065688058</v>
      </c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>
      <c r="A181" s="4" t="s">
        <v>190</v>
      </c>
      <c r="B181" s="5">
        <v>1794.8020805</v>
      </c>
      <c r="C181" s="7">
        <v>165.55</v>
      </c>
      <c r="D181" s="7">
        <v>17.83</v>
      </c>
      <c r="E181" s="7">
        <v>209.41</v>
      </c>
      <c r="F181" s="8">
        <v>0.2094455852156057</v>
      </c>
      <c r="G181" s="7">
        <v>116.75</v>
      </c>
      <c r="H181" s="8">
        <v>0.41798715203426134</v>
      </c>
      <c r="I181" s="7">
        <v>165.4</v>
      </c>
      <c r="J181" s="8">
        <v>9.068923821040247E-4</v>
      </c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>
      <c r="A182" s="4" t="s">
        <v>191</v>
      </c>
      <c r="B182" s="5">
        <v>61484.38668</v>
      </c>
      <c r="C182" s="7">
        <v>846.75</v>
      </c>
      <c r="D182" s="7">
        <v>46.19</v>
      </c>
      <c r="E182" s="7">
        <v>958.0</v>
      </c>
      <c r="F182" s="8">
        <v>0.11612734864300626</v>
      </c>
      <c r="G182" s="7">
        <v>712.0</v>
      </c>
      <c r="H182" s="8">
        <v>0.1892556179775281</v>
      </c>
      <c r="I182" s="7">
        <v>857.75</v>
      </c>
      <c r="J182" s="8">
        <v>-0.012824249489944622</v>
      </c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>
      <c r="A183" s="4" t="s">
        <v>192</v>
      </c>
      <c r="B183" s="5">
        <v>3951.357</v>
      </c>
      <c r="C183" s="7">
        <v>717.0</v>
      </c>
      <c r="D183" s="7">
        <v>39.87</v>
      </c>
      <c r="E183" s="7">
        <v>1375.0</v>
      </c>
      <c r="F183" s="8">
        <v>0.47854545454545455</v>
      </c>
      <c r="G183" s="7">
        <v>675.0</v>
      </c>
      <c r="H183" s="8">
        <v>0.06222222222222222</v>
      </c>
      <c r="I183" s="7">
        <v>726.2</v>
      </c>
      <c r="J183" s="8">
        <v>-0.012668686312310721</v>
      </c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>
      <c r="A184" s="4" t="s">
        <v>193</v>
      </c>
      <c r="B184" s="5">
        <v>22276.241535</v>
      </c>
      <c r="C184" s="7">
        <v>415.0</v>
      </c>
      <c r="D184" s="7">
        <v>52.87</v>
      </c>
      <c r="E184" s="7">
        <v>624.0</v>
      </c>
      <c r="F184" s="8">
        <v>0.3349358974358974</v>
      </c>
      <c r="G184" s="7">
        <v>358.15</v>
      </c>
      <c r="H184" s="8">
        <v>0.15873237470333668</v>
      </c>
      <c r="I184" s="7">
        <v>413.05</v>
      </c>
      <c r="J184" s="8">
        <v>0.004720978089819606</v>
      </c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>
      <c r="A185" s="4" t="s">
        <v>194</v>
      </c>
      <c r="B185" s="5">
        <v>26702.2965179</v>
      </c>
      <c r="C185" s="7">
        <v>805.9</v>
      </c>
      <c r="D185" s="7">
        <v>70.1</v>
      </c>
      <c r="E185" s="7">
        <v>1347.75</v>
      </c>
      <c r="F185" s="8">
        <v>0.4020404377666481</v>
      </c>
      <c r="G185" s="7">
        <v>770.55</v>
      </c>
      <c r="H185" s="8">
        <v>0.04587632210758552</v>
      </c>
      <c r="I185" s="7">
        <v>808.15</v>
      </c>
      <c r="J185" s="8">
        <v>-0.002784136608302914</v>
      </c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>
      <c r="A186" s="4" t="s">
        <v>195</v>
      </c>
      <c r="B186" s="5">
        <v>6945.4358366</v>
      </c>
      <c r="C186" s="7">
        <v>439.9</v>
      </c>
      <c r="D186" s="10" t="s">
        <v>15</v>
      </c>
      <c r="E186" s="7">
        <v>684.55</v>
      </c>
      <c r="F186" s="8">
        <v>0.3573880651522898</v>
      </c>
      <c r="G186" s="7">
        <v>357.7</v>
      </c>
      <c r="H186" s="8">
        <v>0.22980150964495386</v>
      </c>
      <c r="I186" s="7">
        <v>425.8</v>
      </c>
      <c r="J186" s="8">
        <v>0.03311413809300133</v>
      </c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>
      <c r="A187" s="4" t="s">
        <v>196</v>
      </c>
      <c r="B187" s="5">
        <v>36421.231513</v>
      </c>
      <c r="C187" s="7">
        <v>3446.95</v>
      </c>
      <c r="D187" s="7">
        <v>34.13</v>
      </c>
      <c r="E187" s="7">
        <v>5714.0</v>
      </c>
      <c r="F187" s="8">
        <v>0.396753587679384</v>
      </c>
      <c r="G187" s="7">
        <v>2923.35</v>
      </c>
      <c r="H187" s="8">
        <v>0.17910958318367623</v>
      </c>
      <c r="I187" s="7">
        <v>3640.5</v>
      </c>
      <c r="J187" s="8">
        <v>-0.05316577393215223</v>
      </c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>
      <c r="A188" s="4" t="s">
        <v>197</v>
      </c>
      <c r="B188" s="5">
        <v>57937.9387031</v>
      </c>
      <c r="C188" s="7">
        <v>20.15</v>
      </c>
      <c r="D188" s="7">
        <v>45.52</v>
      </c>
      <c r="E188" s="7">
        <v>24.75</v>
      </c>
      <c r="F188" s="8">
        <v>0.18585858585858592</v>
      </c>
      <c r="G188" s="7">
        <v>12.11</v>
      </c>
      <c r="H188" s="8">
        <v>0.6639141205615193</v>
      </c>
      <c r="I188" s="7">
        <v>19.9</v>
      </c>
      <c r="J188" s="8">
        <v>0.01256281407035176</v>
      </c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>
      <c r="A189" s="4" t="s">
        <v>198</v>
      </c>
      <c r="B189" s="5">
        <v>23948.9713712</v>
      </c>
      <c r="C189" s="7">
        <v>1453.65</v>
      </c>
      <c r="D189" s="7">
        <v>23.28</v>
      </c>
      <c r="E189" s="7">
        <v>3773.95</v>
      </c>
      <c r="F189" s="8">
        <v>0.6148200161634362</v>
      </c>
      <c r="G189" s="7">
        <v>1450.0</v>
      </c>
      <c r="H189" s="8">
        <v>0.0025172413793104077</v>
      </c>
      <c r="I189" s="7">
        <v>1497.85</v>
      </c>
      <c r="J189" s="8">
        <v>-0.029508962846746884</v>
      </c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>
      <c r="A190" s="4" t="s">
        <v>199</v>
      </c>
      <c r="B190" s="5">
        <v>3273.157</v>
      </c>
      <c r="C190" s="7">
        <v>6195.0</v>
      </c>
      <c r="D190" s="7">
        <v>34.69</v>
      </c>
      <c r="E190" s="7">
        <v>6572.75</v>
      </c>
      <c r="F190" s="8">
        <v>0.057472138754706935</v>
      </c>
      <c r="G190" s="7">
        <v>4932.05</v>
      </c>
      <c r="H190" s="8">
        <v>0.256069991180138</v>
      </c>
      <c r="I190" s="7">
        <v>6169.85</v>
      </c>
      <c r="J190" s="8">
        <v>0.004076274139565733</v>
      </c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>
      <c r="A191" s="4" t="s">
        <v>200</v>
      </c>
      <c r="B191" s="5">
        <v>5182.98923</v>
      </c>
      <c r="C191" s="7">
        <v>1688.15</v>
      </c>
      <c r="D191" s="7">
        <v>70.16</v>
      </c>
      <c r="E191" s="7">
        <v>2409.15</v>
      </c>
      <c r="F191" s="8">
        <v>0.2992756781437436</v>
      </c>
      <c r="G191" s="7">
        <v>1211.85</v>
      </c>
      <c r="H191" s="8">
        <v>0.3930354416800761</v>
      </c>
      <c r="I191" s="7">
        <v>1670.5</v>
      </c>
      <c r="J191" s="8">
        <v>0.010565698892547196</v>
      </c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>
      <c r="A192" s="4" t="s">
        <v>201</v>
      </c>
      <c r="B192" s="5">
        <v>4927.69342</v>
      </c>
      <c r="C192" s="7">
        <v>299.0</v>
      </c>
      <c r="D192" s="7">
        <v>35.85</v>
      </c>
      <c r="E192" s="7">
        <v>566.5</v>
      </c>
      <c r="F192" s="8">
        <v>0.47219770520741394</v>
      </c>
      <c r="G192" s="7">
        <v>288.0</v>
      </c>
      <c r="H192" s="8">
        <v>0.03819444444444445</v>
      </c>
      <c r="I192" s="7">
        <v>297.35</v>
      </c>
      <c r="J192" s="8">
        <v>0.0055490163107448365</v>
      </c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>
      <c r="A193" s="4" t="s">
        <v>202</v>
      </c>
      <c r="B193" s="5">
        <v>22715.5217056</v>
      </c>
      <c r="C193" s="7">
        <v>7701.2</v>
      </c>
      <c r="D193" s="7">
        <v>37.5</v>
      </c>
      <c r="E193" s="7">
        <v>10859.0</v>
      </c>
      <c r="F193" s="8">
        <v>0.29080025785063085</v>
      </c>
      <c r="G193" s="7">
        <v>7602.15</v>
      </c>
      <c r="H193" s="8">
        <v>0.013029208842235445</v>
      </c>
      <c r="I193" s="7">
        <v>7679.85</v>
      </c>
      <c r="J193" s="8">
        <v>0.0027800022135848297</v>
      </c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>
      <c r="A194" s="4" t="s">
        <v>203</v>
      </c>
      <c r="B194" s="5">
        <v>5752.7067025</v>
      </c>
      <c r="C194" s="7">
        <v>1071.5</v>
      </c>
      <c r="D194" s="7">
        <v>65.24</v>
      </c>
      <c r="E194" s="7">
        <v>1918.35</v>
      </c>
      <c r="F194" s="8">
        <v>0.4414470769150572</v>
      </c>
      <c r="G194" s="7">
        <v>1023.2</v>
      </c>
      <c r="H194" s="8">
        <v>0.04720484753713834</v>
      </c>
      <c r="I194" s="7">
        <v>1069.9</v>
      </c>
      <c r="J194" s="8">
        <v>0.0014954668660621636</v>
      </c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>
      <c r="A195" s="4" t="s">
        <v>204</v>
      </c>
      <c r="B195" s="5">
        <v>247191.650802</v>
      </c>
      <c r="C195" s="7">
        <v>1031.05</v>
      </c>
      <c r="D195" s="7">
        <v>60.4</v>
      </c>
      <c r="E195" s="7">
        <v>1070.95</v>
      </c>
      <c r="F195" s="8">
        <v>0.03725664129978065</v>
      </c>
      <c r="G195" s="7">
        <v>784.8</v>
      </c>
      <c r="H195" s="8">
        <v>0.3137742099898063</v>
      </c>
      <c r="I195" s="7">
        <v>1032.85</v>
      </c>
      <c r="J195" s="8">
        <v>-0.0017427506414290116</v>
      </c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>
      <c r="A196" s="4" t="s">
        <v>205</v>
      </c>
      <c r="B196" s="11" t="s">
        <v>15</v>
      </c>
      <c r="C196" s="10" t="s">
        <v>15</v>
      </c>
      <c r="D196" s="10" t="s">
        <v>15</v>
      </c>
      <c r="E196" s="10" t="s">
        <v>15</v>
      </c>
      <c r="F196" s="12" t="s">
        <v>15</v>
      </c>
      <c r="G196" s="10" t="s">
        <v>15</v>
      </c>
      <c r="H196" s="12" t="s">
        <v>15</v>
      </c>
      <c r="I196" s="10" t="s">
        <v>15</v>
      </c>
      <c r="J196" s="12" t="s">
        <v>15</v>
      </c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</row>
    <row r="197">
      <c r="A197" s="4" t="s">
        <v>206</v>
      </c>
      <c r="B197" s="5">
        <v>9606.1541</v>
      </c>
      <c r="C197" s="7">
        <v>876.0</v>
      </c>
      <c r="D197" s="7">
        <v>19.98</v>
      </c>
      <c r="E197" s="7">
        <v>1051.85</v>
      </c>
      <c r="F197" s="8">
        <v>0.16718163236202874</v>
      </c>
      <c r="G197" s="7">
        <v>720.0</v>
      </c>
      <c r="H197" s="8">
        <v>0.21666666666666667</v>
      </c>
      <c r="I197" s="7">
        <v>883.3</v>
      </c>
      <c r="J197" s="8">
        <v>-0.008264462809917304</v>
      </c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>
      <c r="A198" s="4" t="s">
        <v>207</v>
      </c>
      <c r="B198" s="5">
        <v>73698.477067</v>
      </c>
      <c r="C198" s="7">
        <v>1134.8</v>
      </c>
      <c r="D198" s="7">
        <v>51.22</v>
      </c>
      <c r="E198" s="7">
        <v>1432.05</v>
      </c>
      <c r="F198" s="8">
        <v>0.20756956810167243</v>
      </c>
      <c r="G198" s="7">
        <v>557.23</v>
      </c>
      <c r="H198" s="8">
        <v>1.036501983023168</v>
      </c>
      <c r="I198" s="7">
        <v>1187.3</v>
      </c>
      <c r="J198" s="8">
        <v>-0.04421797355344058</v>
      </c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>
      <c r="A199" s="4" t="s">
        <v>208</v>
      </c>
      <c r="B199" s="5">
        <v>6524.233845</v>
      </c>
      <c r="C199" s="7">
        <v>590.7</v>
      </c>
      <c r="D199" s="7">
        <v>44.19</v>
      </c>
      <c r="E199" s="7">
        <v>748.0</v>
      </c>
      <c r="F199" s="8">
        <v>0.21029411764705877</v>
      </c>
      <c r="G199" s="7">
        <v>513.1</v>
      </c>
      <c r="H199" s="8">
        <v>0.1512375755213409</v>
      </c>
      <c r="I199" s="7">
        <v>575.3</v>
      </c>
      <c r="J199" s="8">
        <v>0.0267686424474189</v>
      </c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>
      <c r="A200" s="4" t="s">
        <v>209</v>
      </c>
      <c r="B200" s="5">
        <v>32766.2786899</v>
      </c>
      <c r="C200" s="7">
        <v>498.25</v>
      </c>
      <c r="D200" s="7">
        <v>69.25</v>
      </c>
      <c r="E200" s="7">
        <v>806.4</v>
      </c>
      <c r="F200" s="8">
        <v>0.38213045634920634</v>
      </c>
      <c r="G200" s="7">
        <v>451.2</v>
      </c>
      <c r="H200" s="8">
        <v>0.10427748226950358</v>
      </c>
      <c r="I200" s="7">
        <v>488.55</v>
      </c>
      <c r="J200" s="8">
        <v>0.019854671988537485</v>
      </c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>
      <c r="A201" s="4" t="s">
        <v>210</v>
      </c>
      <c r="B201" s="5">
        <v>13811.7</v>
      </c>
      <c r="C201" s="7">
        <v>2714.9</v>
      </c>
      <c r="D201" s="7">
        <v>61.31</v>
      </c>
      <c r="E201" s="7">
        <v>3797.6</v>
      </c>
      <c r="F201" s="8">
        <v>0.28510111649462816</v>
      </c>
      <c r="G201" s="7">
        <v>2506.2</v>
      </c>
      <c r="H201" s="8">
        <v>0.08327348176522237</v>
      </c>
      <c r="I201" s="7">
        <v>2750.75</v>
      </c>
      <c r="J201" s="8">
        <v>-0.013032809233845281</v>
      </c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>
      <c r="A202" s="4" t="s">
        <v>211</v>
      </c>
      <c r="B202" s="5">
        <v>478914.7</v>
      </c>
      <c r="C202" s="7">
        <v>2619.25</v>
      </c>
      <c r="D202" s="7">
        <v>19.81</v>
      </c>
      <c r="E202" s="7">
        <v>2933.8</v>
      </c>
      <c r="F202" s="8">
        <v>0.10721589747085697</v>
      </c>
      <c r="G202" s="7">
        <v>2026.0</v>
      </c>
      <c r="H202" s="8">
        <v>0.2928183613030602</v>
      </c>
      <c r="I202" s="7">
        <v>2612.8</v>
      </c>
      <c r="J202" s="8">
        <v>0.002468616044090561</v>
      </c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>
      <c r="A203" s="4" t="s">
        <v>212</v>
      </c>
      <c r="B203" s="5">
        <v>41307.1280064</v>
      </c>
      <c r="C203" s="7">
        <v>619.0</v>
      </c>
      <c r="D203" s="7">
        <v>31.44</v>
      </c>
      <c r="E203" s="7">
        <v>732.98</v>
      </c>
      <c r="F203" s="8">
        <v>0.15550219651286531</v>
      </c>
      <c r="G203" s="7">
        <v>525.0</v>
      </c>
      <c r="H203" s="8">
        <v>0.17904761904761904</v>
      </c>
      <c r="I203" s="7">
        <v>628.15</v>
      </c>
      <c r="J203" s="8">
        <v>-0.014566584414550629</v>
      </c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>
      <c r="A204" s="4" t="s">
        <v>213</v>
      </c>
      <c r="B204" s="5">
        <v>6502.435</v>
      </c>
      <c r="C204" s="7">
        <v>578.05</v>
      </c>
      <c r="D204" s="7">
        <v>114.36</v>
      </c>
      <c r="E204" s="7">
        <v>749.15</v>
      </c>
      <c r="F204" s="8">
        <v>0.22839217780150842</v>
      </c>
      <c r="G204" s="7">
        <v>328.73</v>
      </c>
      <c r="H204" s="8">
        <v>0.7584339731694701</v>
      </c>
      <c r="I204" s="7">
        <v>580.0</v>
      </c>
      <c r="J204" s="8">
        <v>-0.00336206896551732</v>
      </c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>
      <c r="A205" s="4" t="s">
        <v>214</v>
      </c>
      <c r="B205" s="5">
        <v>38859.14</v>
      </c>
      <c r="C205" s="7">
        <v>4338.0</v>
      </c>
      <c r="D205" s="7">
        <v>63.66</v>
      </c>
      <c r="E205" s="7">
        <v>4535.95</v>
      </c>
      <c r="F205" s="8">
        <v>0.043640251766443594</v>
      </c>
      <c r="G205" s="7">
        <v>2160.05</v>
      </c>
      <c r="H205" s="8">
        <v>1.0082868452119162</v>
      </c>
      <c r="I205" s="7">
        <v>4340.15</v>
      </c>
      <c r="J205" s="8">
        <v>-4.953745838276641E-4</v>
      </c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>
      <c r="A206" s="4" t="s">
        <v>215</v>
      </c>
      <c r="B206" s="5">
        <v>354002.5359556</v>
      </c>
      <c r="C206" s="7">
        <v>1780.5</v>
      </c>
      <c r="D206" s="7">
        <v>25.87</v>
      </c>
      <c r="E206" s="7">
        <v>1997.55</v>
      </c>
      <c r="F206" s="8">
        <v>0.10865810618007056</v>
      </c>
      <c r="G206" s="7">
        <v>1631.0</v>
      </c>
      <c r="H206" s="8">
        <v>0.09166155732679337</v>
      </c>
      <c r="I206" s="7">
        <v>1779.5</v>
      </c>
      <c r="J206" s="8">
        <v>5.61955605507165E-4</v>
      </c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>
      <c r="A207" s="4" t="s">
        <v>216</v>
      </c>
      <c r="B207" s="5">
        <v>1639.276373</v>
      </c>
      <c r="C207" s="7">
        <v>498.5</v>
      </c>
      <c r="D207" s="7">
        <v>30.76</v>
      </c>
      <c r="E207" s="7">
        <v>1000.0</v>
      </c>
      <c r="F207" s="8">
        <v>0.5015</v>
      </c>
      <c r="G207" s="7">
        <v>472.2</v>
      </c>
      <c r="H207" s="8">
        <v>0.05569673867005508</v>
      </c>
      <c r="I207" s="7">
        <v>503.15</v>
      </c>
      <c r="J207" s="8">
        <v>-0.00924177680612139</v>
      </c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>
      <c r="A208" s="4" t="s">
        <v>217</v>
      </c>
      <c r="B208" s="5">
        <v>93678.862</v>
      </c>
      <c r="C208" s="7">
        <v>916.75</v>
      </c>
      <c r="D208" s="7">
        <v>58.81</v>
      </c>
      <c r="E208" s="7">
        <v>955.65</v>
      </c>
      <c r="F208" s="8">
        <v>0.04070527912938835</v>
      </c>
      <c r="G208" s="7">
        <v>660.2</v>
      </c>
      <c r="H208" s="8">
        <v>0.3885943653438351</v>
      </c>
      <c r="I208" s="7">
        <v>914.9</v>
      </c>
      <c r="J208" s="8">
        <v>0.00202207891572852</v>
      </c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>
      <c r="A209" s="4" t="s">
        <v>218</v>
      </c>
      <c r="B209" s="5">
        <v>1528.0408125</v>
      </c>
      <c r="C209" s="7">
        <v>423.0</v>
      </c>
      <c r="D209" s="10" t="s">
        <v>15</v>
      </c>
      <c r="E209" s="7">
        <v>1156.35</v>
      </c>
      <c r="F209" s="8">
        <v>0.6341937994551822</v>
      </c>
      <c r="G209" s="7">
        <v>323.65</v>
      </c>
      <c r="H209" s="8">
        <v>0.30696740305885994</v>
      </c>
      <c r="I209" s="7">
        <v>427.8</v>
      </c>
      <c r="J209" s="8">
        <v>-0.01122019635343621</v>
      </c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>
      <c r="A210" s="4" t="s">
        <v>219</v>
      </c>
      <c r="B210" s="5">
        <v>17802.1935</v>
      </c>
      <c r="C210" s="7">
        <v>1118.0</v>
      </c>
      <c r="D210" s="7">
        <v>46.87</v>
      </c>
      <c r="E210" s="7">
        <v>1374.55</v>
      </c>
      <c r="F210" s="8">
        <v>0.186642901313157</v>
      </c>
      <c r="G210" s="7">
        <v>885.3</v>
      </c>
      <c r="H210" s="8">
        <v>0.262848751835536</v>
      </c>
      <c r="I210" s="7">
        <v>1112.5</v>
      </c>
      <c r="J210" s="8">
        <v>0.004943820224719101</v>
      </c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>
      <c r="A211" s="4" t="s">
        <v>220</v>
      </c>
      <c r="B211" s="5">
        <v>1347.5935652</v>
      </c>
      <c r="C211" s="7">
        <v>429.35</v>
      </c>
      <c r="D211" s="7">
        <v>20.29</v>
      </c>
      <c r="E211" s="7">
        <v>778.0</v>
      </c>
      <c r="F211" s="8">
        <v>0.4481362467866324</v>
      </c>
      <c r="G211" s="7">
        <v>428.9</v>
      </c>
      <c r="H211" s="8">
        <v>0.001049195616693974</v>
      </c>
      <c r="I211" s="7">
        <v>436.85</v>
      </c>
      <c r="J211" s="8">
        <v>-0.017168364427148905</v>
      </c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>
      <c r="A212" s="4" t="s">
        <v>221</v>
      </c>
      <c r="B212" s="5">
        <v>7063.23</v>
      </c>
      <c r="C212" s="7">
        <v>1380.05</v>
      </c>
      <c r="D212" s="7">
        <v>45.85</v>
      </c>
      <c r="E212" s="7">
        <v>3142.0</v>
      </c>
      <c r="F212" s="8">
        <v>0.5607733927434755</v>
      </c>
      <c r="G212" s="7">
        <v>1267.05</v>
      </c>
      <c r="H212" s="8">
        <v>0.08918353656130382</v>
      </c>
      <c r="I212" s="7">
        <v>1382.35</v>
      </c>
      <c r="J212" s="8">
        <v>-0.0016638333273049188</v>
      </c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>
      <c r="A213" s="4" t="s">
        <v>222</v>
      </c>
      <c r="B213" s="5">
        <v>21081.42</v>
      </c>
      <c r="C213" s="7">
        <v>581.8</v>
      </c>
      <c r="D213" s="7">
        <v>17.2</v>
      </c>
      <c r="E213" s="7">
        <v>1118.0</v>
      </c>
      <c r="F213" s="8">
        <v>0.4796064400715564</v>
      </c>
      <c r="G213" s="7">
        <v>579.0</v>
      </c>
      <c r="H213" s="8">
        <v>0.004835924006908385</v>
      </c>
      <c r="I213" s="7">
        <v>592.4</v>
      </c>
      <c r="J213" s="8">
        <v>-0.01789331532748147</v>
      </c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>
      <c r="A214" s="4" t="s">
        <v>223</v>
      </c>
      <c r="B214" s="5">
        <v>1992.0121939</v>
      </c>
      <c r="C214" s="7">
        <v>36.2</v>
      </c>
      <c r="D214" s="7">
        <v>593.93</v>
      </c>
      <c r="E214" s="7">
        <v>54.5</v>
      </c>
      <c r="F214" s="8">
        <v>0.33577981651376143</v>
      </c>
      <c r="G214" s="7">
        <v>18.7</v>
      </c>
      <c r="H214" s="8">
        <v>0.9358288770053478</v>
      </c>
      <c r="I214" s="7">
        <v>36.05</v>
      </c>
      <c r="J214" s="8">
        <v>0.004160887656033445</v>
      </c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>
      <c r="A215" s="4" t="s">
        <v>224</v>
      </c>
      <c r="B215" s="5">
        <v>22166.9</v>
      </c>
      <c r="C215" s="7">
        <v>3020.0</v>
      </c>
      <c r="D215" s="7">
        <v>38.36</v>
      </c>
      <c r="E215" s="7">
        <v>3863.55</v>
      </c>
      <c r="F215" s="8">
        <v>0.2183354686751822</v>
      </c>
      <c r="G215" s="7">
        <v>2540.0</v>
      </c>
      <c r="H215" s="8">
        <v>0.1889763779527559</v>
      </c>
      <c r="I215" s="7">
        <v>3044.5</v>
      </c>
      <c r="J215" s="8">
        <v>-0.008047298406963376</v>
      </c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>
      <c r="A216" s="4" t="s">
        <v>225</v>
      </c>
      <c r="B216" s="5">
        <v>4564.43</v>
      </c>
      <c r="C216" s="7">
        <v>1524.7</v>
      </c>
      <c r="D216" s="7">
        <v>17.12</v>
      </c>
      <c r="E216" s="7">
        <v>3925.0</v>
      </c>
      <c r="F216" s="8">
        <v>0.6115414012738853</v>
      </c>
      <c r="G216" s="7">
        <v>1515.1</v>
      </c>
      <c r="H216" s="8">
        <v>0.0063362154313247555</v>
      </c>
      <c r="I216" s="7">
        <v>1526.65</v>
      </c>
      <c r="J216" s="8">
        <v>-0.0012773065208135756</v>
      </c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>
      <c r="A217" s="4" t="s">
        <v>226</v>
      </c>
      <c r="B217" s="5">
        <v>450686.7570293</v>
      </c>
      <c r="C217" s="7">
        <v>712.7</v>
      </c>
      <c r="D217" s="7">
        <v>23.63</v>
      </c>
      <c r="E217" s="7">
        <v>920.0</v>
      </c>
      <c r="F217" s="8">
        <v>0.22532608695652168</v>
      </c>
      <c r="G217" s="7">
        <v>588.0</v>
      </c>
      <c r="H217" s="8">
        <v>0.21207482993197288</v>
      </c>
      <c r="I217" s="7">
        <v>705.55</v>
      </c>
      <c r="J217" s="8">
        <v>0.01013393806250456</v>
      </c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>
      <c r="A218" s="14"/>
      <c r="B218" s="15"/>
      <c r="C218" s="16"/>
      <c r="D218" s="16"/>
      <c r="E218" s="16"/>
      <c r="F218" s="9"/>
      <c r="G218" s="16"/>
      <c r="H218" s="9"/>
      <c r="I218" s="16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>
      <c r="A219" s="14"/>
      <c r="B219" s="15"/>
      <c r="C219" s="16"/>
      <c r="D219" s="16"/>
      <c r="E219" s="16"/>
      <c r="F219" s="9"/>
      <c r="G219" s="16"/>
      <c r="H219" s="9"/>
      <c r="I219" s="16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>
      <c r="A220" s="14"/>
      <c r="B220" s="15"/>
      <c r="C220" s="16"/>
      <c r="D220" s="16"/>
      <c r="E220" s="16"/>
      <c r="F220" s="9"/>
      <c r="G220" s="16"/>
      <c r="H220" s="9"/>
      <c r="I220" s="16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>
      <c r="A221" s="14"/>
      <c r="B221" s="15"/>
      <c r="C221" s="16"/>
      <c r="D221" s="16"/>
      <c r="E221" s="16"/>
      <c r="F221" s="9"/>
      <c r="G221" s="16"/>
      <c r="H221" s="9"/>
      <c r="I221" s="16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>
      <c r="A222" s="14"/>
      <c r="B222" s="15"/>
      <c r="C222" s="16"/>
      <c r="D222" s="16"/>
      <c r="E222" s="16"/>
      <c r="F222" s="9"/>
      <c r="G222" s="16"/>
      <c r="H222" s="9"/>
      <c r="I222" s="16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>
      <c r="A223" s="14"/>
      <c r="B223" s="15"/>
      <c r="C223" s="16"/>
      <c r="D223" s="16"/>
      <c r="E223" s="16"/>
      <c r="F223" s="9"/>
      <c r="G223" s="16"/>
      <c r="H223" s="9"/>
      <c r="I223" s="16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>
      <c r="A224" s="14"/>
      <c r="B224" s="15"/>
      <c r="C224" s="16"/>
      <c r="D224" s="16"/>
      <c r="E224" s="16"/>
      <c r="F224" s="9"/>
      <c r="G224" s="16"/>
      <c r="H224" s="9"/>
      <c r="I224" s="16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>
      <c r="A225" s="14"/>
      <c r="B225" s="15"/>
      <c r="C225" s="16"/>
      <c r="D225" s="16"/>
      <c r="E225" s="16"/>
      <c r="F225" s="9"/>
      <c r="G225" s="16"/>
      <c r="H225" s="9"/>
      <c r="I225" s="16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>
      <c r="A226" s="14"/>
      <c r="B226" s="15"/>
      <c r="C226" s="16"/>
      <c r="D226" s="16"/>
      <c r="E226" s="16"/>
      <c r="F226" s="9"/>
      <c r="G226" s="16"/>
      <c r="H226" s="9"/>
      <c r="I226" s="16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>
      <c r="A227" s="14"/>
      <c r="B227" s="15"/>
      <c r="C227" s="16"/>
      <c r="D227" s="16"/>
      <c r="E227" s="16"/>
      <c r="F227" s="9"/>
      <c r="G227" s="16"/>
      <c r="H227" s="9"/>
      <c r="I227" s="16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>
      <c r="A228" s="14"/>
      <c r="B228" s="15"/>
      <c r="C228" s="16"/>
      <c r="D228" s="16"/>
      <c r="E228" s="16"/>
      <c r="F228" s="9"/>
      <c r="G228" s="16"/>
      <c r="H228" s="9"/>
      <c r="I228" s="16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>
      <c r="A229" s="14"/>
      <c r="B229" s="15"/>
      <c r="C229" s="16"/>
      <c r="D229" s="16"/>
      <c r="E229" s="16"/>
      <c r="F229" s="9"/>
      <c r="G229" s="16"/>
      <c r="H229" s="9"/>
      <c r="I229" s="16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>
      <c r="A230" s="14"/>
      <c r="B230" s="15"/>
      <c r="C230" s="16"/>
      <c r="D230" s="16"/>
      <c r="E230" s="16"/>
      <c r="F230" s="9"/>
      <c r="G230" s="16"/>
      <c r="H230" s="9"/>
      <c r="I230" s="16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>
      <c r="A231" s="14"/>
      <c r="B231" s="15"/>
      <c r="C231" s="16"/>
      <c r="D231" s="16"/>
      <c r="E231" s="16"/>
      <c r="F231" s="9"/>
      <c r="G231" s="16"/>
      <c r="H231" s="9"/>
      <c r="I231" s="16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>
      <c r="A232" s="14"/>
      <c r="B232" s="15"/>
      <c r="C232" s="16"/>
      <c r="D232" s="16"/>
      <c r="E232" s="16"/>
      <c r="F232" s="9"/>
      <c r="G232" s="16"/>
      <c r="H232" s="9"/>
      <c r="I232" s="16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>
      <c r="A233" s="14"/>
      <c r="B233" s="15"/>
      <c r="C233" s="16"/>
      <c r="D233" s="16"/>
      <c r="E233" s="16"/>
      <c r="F233" s="9"/>
      <c r="G233" s="16"/>
      <c r="H233" s="9"/>
      <c r="I233" s="16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>
      <c r="A234" s="14"/>
      <c r="B234" s="15"/>
      <c r="C234" s="16"/>
      <c r="D234" s="16"/>
      <c r="E234" s="16"/>
      <c r="F234" s="9"/>
      <c r="G234" s="16"/>
      <c r="H234" s="9"/>
      <c r="I234" s="16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>
      <c r="A235" s="14"/>
      <c r="B235" s="15"/>
      <c r="C235" s="16"/>
      <c r="D235" s="16"/>
      <c r="E235" s="16"/>
      <c r="F235" s="9"/>
      <c r="G235" s="16"/>
      <c r="H235" s="9"/>
      <c r="I235" s="16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>
      <c r="A236" s="14"/>
      <c r="B236" s="15"/>
      <c r="C236" s="16"/>
      <c r="D236" s="16"/>
      <c r="E236" s="16"/>
      <c r="F236" s="9"/>
      <c r="G236" s="16"/>
      <c r="H236" s="9"/>
      <c r="I236" s="16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>
      <c r="A237" s="14"/>
      <c r="B237" s="15"/>
      <c r="C237" s="16"/>
      <c r="D237" s="16"/>
      <c r="E237" s="16"/>
      <c r="F237" s="9"/>
      <c r="G237" s="16"/>
      <c r="H237" s="9"/>
      <c r="I237" s="16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>
      <c r="A238" s="14"/>
      <c r="B238" s="15"/>
      <c r="C238" s="16"/>
      <c r="D238" s="16"/>
      <c r="E238" s="16"/>
      <c r="F238" s="9"/>
      <c r="G238" s="16"/>
      <c r="H238" s="9"/>
      <c r="I238" s="16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>
      <c r="A239" s="14"/>
      <c r="B239" s="15"/>
      <c r="C239" s="16"/>
      <c r="D239" s="16"/>
      <c r="E239" s="16"/>
      <c r="F239" s="9"/>
      <c r="G239" s="16"/>
      <c r="H239" s="9"/>
      <c r="I239" s="16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>
      <c r="A240" s="14"/>
      <c r="B240" s="15"/>
      <c r="C240" s="16"/>
      <c r="D240" s="16"/>
      <c r="E240" s="16"/>
      <c r="F240" s="9"/>
      <c r="G240" s="16"/>
      <c r="H240" s="9"/>
      <c r="I240" s="16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>
      <c r="A241" s="14"/>
      <c r="B241" s="15"/>
      <c r="C241" s="16"/>
      <c r="D241" s="16"/>
      <c r="E241" s="16"/>
      <c r="F241" s="9"/>
      <c r="G241" s="16"/>
      <c r="H241" s="9"/>
      <c r="I241" s="16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>
      <c r="A242" s="14"/>
      <c r="B242" s="15"/>
      <c r="C242" s="16"/>
      <c r="D242" s="16"/>
      <c r="E242" s="16"/>
      <c r="F242" s="9"/>
      <c r="G242" s="16"/>
      <c r="H242" s="9"/>
      <c r="I242" s="16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>
      <c r="A243" s="14"/>
      <c r="B243" s="15"/>
      <c r="C243" s="16"/>
      <c r="D243" s="16"/>
      <c r="E243" s="16"/>
      <c r="F243" s="9"/>
      <c r="G243" s="16"/>
      <c r="H243" s="9"/>
      <c r="I243" s="16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>
      <c r="A244" s="14"/>
      <c r="B244" s="15"/>
      <c r="C244" s="16"/>
      <c r="D244" s="16"/>
      <c r="E244" s="16"/>
      <c r="F244" s="9"/>
      <c r="G244" s="16"/>
      <c r="H244" s="9"/>
      <c r="I244" s="16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>
      <c r="A245" s="14"/>
      <c r="B245" s="15"/>
      <c r="C245" s="16"/>
      <c r="D245" s="16"/>
      <c r="E245" s="16"/>
      <c r="F245" s="9"/>
      <c r="G245" s="16"/>
      <c r="H245" s="9"/>
      <c r="I245" s="16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>
      <c r="A246" s="14"/>
      <c r="B246" s="15"/>
      <c r="C246" s="16"/>
      <c r="D246" s="16"/>
      <c r="E246" s="16"/>
      <c r="F246" s="9"/>
      <c r="G246" s="16"/>
      <c r="H246" s="9"/>
      <c r="I246" s="16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>
      <c r="A247" s="14"/>
      <c r="B247" s="15"/>
      <c r="C247" s="16"/>
      <c r="D247" s="16"/>
      <c r="E247" s="16"/>
      <c r="F247" s="9"/>
      <c r="G247" s="16"/>
      <c r="H247" s="9"/>
      <c r="I247" s="16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>
      <c r="A248" s="14"/>
      <c r="B248" s="15"/>
      <c r="C248" s="16"/>
      <c r="D248" s="16"/>
      <c r="E248" s="16"/>
      <c r="F248" s="9"/>
      <c r="G248" s="16"/>
      <c r="H248" s="9"/>
      <c r="I248" s="16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>
      <c r="A249" s="14"/>
      <c r="B249" s="15"/>
      <c r="C249" s="16"/>
      <c r="D249" s="16"/>
      <c r="E249" s="16"/>
      <c r="F249" s="9"/>
      <c r="G249" s="16"/>
      <c r="H249" s="9"/>
      <c r="I249" s="16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>
      <c r="A250" s="14"/>
      <c r="B250" s="15"/>
      <c r="C250" s="16"/>
      <c r="D250" s="16"/>
      <c r="E250" s="16"/>
      <c r="F250" s="9"/>
      <c r="G250" s="16"/>
      <c r="H250" s="9"/>
      <c r="I250" s="16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>
      <c r="A251" s="14"/>
      <c r="B251" s="15"/>
      <c r="C251" s="16"/>
      <c r="D251" s="16"/>
      <c r="E251" s="16"/>
      <c r="F251" s="9"/>
      <c r="G251" s="16"/>
      <c r="H251" s="9"/>
      <c r="I251" s="16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>
      <c r="A252" s="14"/>
      <c r="B252" s="15"/>
      <c r="C252" s="16"/>
      <c r="D252" s="16"/>
      <c r="E252" s="16"/>
      <c r="F252" s="9"/>
      <c r="G252" s="16"/>
      <c r="H252" s="9"/>
      <c r="I252" s="16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>
      <c r="A253" s="14"/>
      <c r="B253" s="15"/>
      <c r="C253" s="16"/>
      <c r="D253" s="16"/>
      <c r="E253" s="16"/>
      <c r="F253" s="9"/>
      <c r="G253" s="16"/>
      <c r="H253" s="9"/>
      <c r="I253" s="16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>
      <c r="A254" s="14"/>
      <c r="B254" s="15"/>
      <c r="C254" s="16"/>
      <c r="D254" s="16"/>
      <c r="E254" s="16"/>
      <c r="F254" s="9"/>
      <c r="G254" s="16"/>
      <c r="H254" s="9"/>
      <c r="I254" s="16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>
      <c r="A255" s="14"/>
      <c r="B255" s="15"/>
      <c r="C255" s="16"/>
      <c r="D255" s="16"/>
      <c r="E255" s="16"/>
      <c r="F255" s="9"/>
      <c r="G255" s="16"/>
      <c r="H255" s="9"/>
      <c r="I255" s="16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>
      <c r="A256" s="14"/>
      <c r="B256" s="15"/>
      <c r="C256" s="16"/>
      <c r="D256" s="16"/>
      <c r="E256" s="16"/>
      <c r="F256" s="9"/>
      <c r="G256" s="16"/>
      <c r="H256" s="9"/>
      <c r="I256" s="16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>
      <c r="A257" s="14"/>
      <c r="B257" s="15"/>
      <c r="C257" s="16"/>
      <c r="D257" s="16"/>
      <c r="E257" s="16"/>
      <c r="F257" s="9"/>
      <c r="G257" s="16"/>
      <c r="H257" s="9"/>
      <c r="I257" s="16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>
      <c r="A258" s="14"/>
      <c r="B258" s="15"/>
      <c r="C258" s="16"/>
      <c r="D258" s="16"/>
      <c r="E258" s="16"/>
      <c r="F258" s="9"/>
      <c r="G258" s="16"/>
      <c r="H258" s="9"/>
      <c r="I258" s="16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>
      <c r="A259" s="14"/>
      <c r="B259" s="15"/>
      <c r="C259" s="16"/>
      <c r="D259" s="16"/>
      <c r="E259" s="16"/>
      <c r="F259" s="9"/>
      <c r="G259" s="16"/>
      <c r="H259" s="9"/>
      <c r="I259" s="16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>
      <c r="A260" s="14"/>
      <c r="B260" s="15"/>
      <c r="C260" s="16"/>
      <c r="D260" s="16"/>
      <c r="E260" s="16"/>
      <c r="F260" s="9"/>
      <c r="G260" s="16"/>
      <c r="H260" s="9"/>
      <c r="I260" s="16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>
      <c r="A261" s="14"/>
      <c r="B261" s="15"/>
      <c r="C261" s="16"/>
      <c r="D261" s="16"/>
      <c r="E261" s="16"/>
      <c r="F261" s="9"/>
      <c r="G261" s="16"/>
      <c r="H261" s="9"/>
      <c r="I261" s="16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>
      <c r="A262" s="14"/>
      <c r="B262" s="15"/>
      <c r="C262" s="16"/>
      <c r="D262" s="16"/>
      <c r="E262" s="16"/>
      <c r="F262" s="9"/>
      <c r="G262" s="16"/>
      <c r="H262" s="9"/>
      <c r="I262" s="16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>
      <c r="A263" s="14"/>
      <c r="B263" s="15"/>
      <c r="C263" s="16"/>
      <c r="D263" s="16"/>
      <c r="E263" s="16"/>
      <c r="F263" s="9"/>
      <c r="G263" s="16"/>
      <c r="H263" s="9"/>
      <c r="I263" s="16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>
      <c r="A264" s="14"/>
      <c r="B264" s="15"/>
      <c r="C264" s="16"/>
      <c r="D264" s="16"/>
      <c r="E264" s="16"/>
      <c r="F264" s="9"/>
      <c r="G264" s="16"/>
      <c r="H264" s="9"/>
      <c r="I264" s="16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>
      <c r="A265" s="14"/>
      <c r="B265" s="15"/>
      <c r="C265" s="16"/>
      <c r="D265" s="16"/>
      <c r="E265" s="16"/>
      <c r="F265" s="9"/>
      <c r="G265" s="16"/>
      <c r="H265" s="9"/>
      <c r="I265" s="16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>
      <c r="A266" s="14"/>
      <c r="B266" s="15"/>
      <c r="C266" s="16"/>
      <c r="D266" s="16"/>
      <c r="E266" s="16"/>
      <c r="F266" s="9"/>
      <c r="G266" s="16"/>
      <c r="H266" s="9"/>
      <c r="I266" s="16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>
      <c r="A267" s="14"/>
      <c r="B267" s="15"/>
      <c r="C267" s="16"/>
      <c r="D267" s="16"/>
      <c r="E267" s="16"/>
      <c r="F267" s="9"/>
      <c r="G267" s="16"/>
      <c r="H267" s="9"/>
      <c r="I267" s="16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>
      <c r="A268" s="14"/>
      <c r="B268" s="15"/>
      <c r="C268" s="16"/>
      <c r="D268" s="16"/>
      <c r="E268" s="16"/>
      <c r="F268" s="9"/>
      <c r="G268" s="16"/>
      <c r="H268" s="9"/>
      <c r="I268" s="16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>
      <c r="A269" s="14"/>
      <c r="B269" s="15"/>
      <c r="C269" s="16"/>
      <c r="D269" s="16"/>
      <c r="E269" s="16"/>
      <c r="F269" s="9"/>
      <c r="G269" s="16"/>
      <c r="H269" s="9"/>
      <c r="I269" s="16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>
      <c r="A270" s="14"/>
      <c r="B270" s="15"/>
      <c r="C270" s="16"/>
      <c r="D270" s="16"/>
      <c r="E270" s="16"/>
      <c r="F270" s="9"/>
      <c r="G270" s="16"/>
      <c r="H270" s="9"/>
      <c r="I270" s="16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>
      <c r="A271" s="14"/>
      <c r="B271" s="15"/>
      <c r="C271" s="16"/>
      <c r="D271" s="16"/>
      <c r="E271" s="16"/>
      <c r="F271" s="9"/>
      <c r="G271" s="16"/>
      <c r="H271" s="9"/>
      <c r="I271" s="16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>
      <c r="A272" s="14"/>
      <c r="B272" s="15"/>
      <c r="C272" s="16"/>
      <c r="D272" s="16"/>
      <c r="E272" s="16"/>
      <c r="F272" s="9"/>
      <c r="G272" s="16"/>
      <c r="H272" s="9"/>
      <c r="I272" s="16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>
      <c r="A273" s="14"/>
      <c r="B273" s="15"/>
      <c r="C273" s="16"/>
      <c r="D273" s="16"/>
      <c r="E273" s="16"/>
      <c r="F273" s="9"/>
      <c r="G273" s="16"/>
      <c r="H273" s="9"/>
      <c r="I273" s="16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>
      <c r="A274" s="14"/>
      <c r="B274" s="15"/>
      <c r="C274" s="16"/>
      <c r="D274" s="16"/>
      <c r="E274" s="16"/>
      <c r="F274" s="9"/>
      <c r="G274" s="16"/>
      <c r="H274" s="9"/>
      <c r="I274" s="16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>
      <c r="A275" s="14"/>
      <c r="B275" s="15"/>
      <c r="C275" s="16"/>
      <c r="D275" s="16"/>
      <c r="E275" s="16"/>
      <c r="F275" s="9"/>
      <c r="G275" s="16"/>
      <c r="H275" s="9"/>
      <c r="I275" s="16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>
      <c r="A276" s="14"/>
      <c r="B276" s="15"/>
      <c r="C276" s="16"/>
      <c r="D276" s="16"/>
      <c r="E276" s="16"/>
      <c r="F276" s="9"/>
      <c r="G276" s="16"/>
      <c r="H276" s="9"/>
      <c r="I276" s="16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>
      <c r="A277" s="14"/>
      <c r="B277" s="15"/>
      <c r="C277" s="16"/>
      <c r="D277" s="16"/>
      <c r="E277" s="16"/>
      <c r="F277" s="9"/>
      <c r="G277" s="16"/>
      <c r="H277" s="9"/>
      <c r="I277" s="16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>
      <c r="A278" s="14"/>
      <c r="B278" s="15"/>
      <c r="C278" s="16"/>
      <c r="D278" s="16"/>
      <c r="E278" s="16"/>
      <c r="F278" s="9"/>
      <c r="G278" s="16"/>
      <c r="H278" s="9"/>
      <c r="I278" s="16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>
      <c r="A279" s="14"/>
      <c r="B279" s="15"/>
      <c r="C279" s="16"/>
      <c r="D279" s="16"/>
      <c r="E279" s="16"/>
      <c r="F279" s="9"/>
      <c r="G279" s="16"/>
      <c r="H279" s="9"/>
      <c r="I279" s="16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>
      <c r="A280" s="14"/>
      <c r="B280" s="15"/>
      <c r="C280" s="16"/>
      <c r="D280" s="16"/>
      <c r="E280" s="16"/>
      <c r="F280" s="9"/>
      <c r="G280" s="16"/>
      <c r="H280" s="9"/>
      <c r="I280" s="16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>
      <c r="A281" s="14"/>
      <c r="B281" s="15"/>
      <c r="C281" s="16"/>
      <c r="D281" s="16"/>
      <c r="E281" s="16"/>
      <c r="F281" s="9"/>
      <c r="G281" s="16"/>
      <c r="H281" s="9"/>
      <c r="I281" s="16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>
      <c r="A282" s="14"/>
      <c r="B282" s="15"/>
      <c r="C282" s="16"/>
      <c r="D282" s="16"/>
      <c r="E282" s="16"/>
      <c r="F282" s="9"/>
      <c r="G282" s="16"/>
      <c r="H282" s="9"/>
      <c r="I282" s="16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>
      <c r="A283" s="14"/>
      <c r="B283" s="15"/>
      <c r="C283" s="16"/>
      <c r="D283" s="16"/>
      <c r="E283" s="16"/>
      <c r="F283" s="9"/>
      <c r="G283" s="16"/>
      <c r="H283" s="9"/>
      <c r="I283" s="16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>
      <c r="A284" s="14"/>
      <c r="B284" s="15"/>
      <c r="C284" s="16"/>
      <c r="D284" s="16"/>
      <c r="E284" s="16"/>
      <c r="F284" s="9"/>
      <c r="G284" s="16"/>
      <c r="H284" s="9"/>
      <c r="I284" s="16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>
      <c r="A285" s="14"/>
      <c r="B285" s="15"/>
      <c r="C285" s="16"/>
      <c r="D285" s="16"/>
      <c r="E285" s="16"/>
      <c r="F285" s="9"/>
      <c r="G285" s="16"/>
      <c r="H285" s="9"/>
      <c r="I285" s="16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>
      <c r="A286" s="14"/>
      <c r="B286" s="15"/>
      <c r="C286" s="16"/>
      <c r="D286" s="16"/>
      <c r="E286" s="16"/>
      <c r="F286" s="9"/>
      <c r="G286" s="16"/>
      <c r="H286" s="9"/>
      <c r="I286" s="16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>
      <c r="A287" s="14"/>
      <c r="B287" s="15"/>
      <c r="C287" s="16"/>
      <c r="D287" s="16"/>
      <c r="E287" s="16"/>
      <c r="F287" s="9"/>
      <c r="G287" s="16"/>
      <c r="H287" s="9"/>
      <c r="I287" s="16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>
      <c r="A288" s="14"/>
      <c r="B288" s="15"/>
      <c r="C288" s="16"/>
      <c r="D288" s="16"/>
      <c r="E288" s="16"/>
      <c r="F288" s="9"/>
      <c r="G288" s="16"/>
      <c r="H288" s="9"/>
      <c r="I288" s="16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>
      <c r="A289" s="14"/>
      <c r="B289" s="15"/>
      <c r="C289" s="16"/>
      <c r="D289" s="16"/>
      <c r="E289" s="16"/>
      <c r="F289" s="9"/>
      <c r="G289" s="16"/>
      <c r="H289" s="9"/>
      <c r="I289" s="16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>
      <c r="A290" s="14"/>
      <c r="B290" s="15"/>
      <c r="C290" s="16"/>
      <c r="D290" s="16"/>
      <c r="E290" s="16"/>
      <c r="F290" s="9"/>
      <c r="G290" s="16"/>
      <c r="H290" s="9"/>
      <c r="I290" s="16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>
      <c r="A291" s="14"/>
      <c r="B291" s="15"/>
      <c r="C291" s="16"/>
      <c r="D291" s="16"/>
      <c r="E291" s="16"/>
      <c r="F291" s="9"/>
      <c r="G291" s="16"/>
      <c r="H291" s="9"/>
      <c r="I291" s="16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>
      <c r="A292" s="14"/>
      <c r="B292" s="15"/>
      <c r="C292" s="16"/>
      <c r="D292" s="16"/>
      <c r="E292" s="16"/>
      <c r="F292" s="9"/>
      <c r="G292" s="16"/>
      <c r="H292" s="9"/>
      <c r="I292" s="16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>
      <c r="A293" s="14"/>
      <c r="B293" s="15"/>
      <c r="C293" s="16"/>
      <c r="D293" s="16"/>
      <c r="E293" s="16"/>
      <c r="F293" s="9"/>
      <c r="G293" s="16"/>
      <c r="H293" s="9"/>
      <c r="I293" s="16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>
      <c r="A294" s="14"/>
      <c r="B294" s="15"/>
      <c r="C294" s="16"/>
      <c r="D294" s="16"/>
      <c r="E294" s="16"/>
      <c r="F294" s="9"/>
      <c r="G294" s="16"/>
      <c r="H294" s="9"/>
      <c r="I294" s="16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>
      <c r="A295" s="14"/>
      <c r="B295" s="15"/>
      <c r="C295" s="16"/>
      <c r="D295" s="16"/>
      <c r="E295" s="16"/>
      <c r="F295" s="9"/>
      <c r="G295" s="16"/>
      <c r="H295" s="9"/>
      <c r="I295" s="16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>
      <c r="A296" s="14"/>
      <c r="B296" s="15"/>
      <c r="C296" s="16"/>
      <c r="D296" s="16"/>
      <c r="E296" s="16"/>
      <c r="F296" s="9"/>
      <c r="G296" s="16"/>
      <c r="H296" s="9"/>
      <c r="I296" s="16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>
      <c r="A297" s="14"/>
      <c r="B297" s="15"/>
      <c r="C297" s="16"/>
      <c r="D297" s="16"/>
      <c r="E297" s="16"/>
      <c r="F297" s="9"/>
      <c r="G297" s="16"/>
      <c r="H297" s="9"/>
      <c r="I297" s="16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>
      <c r="A298" s="14"/>
      <c r="B298" s="15"/>
      <c r="C298" s="16"/>
      <c r="D298" s="16"/>
      <c r="E298" s="16"/>
      <c r="F298" s="9"/>
      <c r="G298" s="16"/>
      <c r="H298" s="9"/>
      <c r="I298" s="16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>
      <c r="A299" s="14"/>
      <c r="B299" s="15"/>
      <c r="C299" s="16"/>
      <c r="D299" s="16"/>
      <c r="E299" s="16"/>
      <c r="F299" s="9"/>
      <c r="G299" s="16"/>
      <c r="H299" s="9"/>
      <c r="I299" s="16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>
      <c r="A300" s="14"/>
      <c r="B300" s="15"/>
      <c r="C300" s="16"/>
      <c r="D300" s="16"/>
      <c r="E300" s="16"/>
      <c r="F300" s="9"/>
      <c r="G300" s="16"/>
      <c r="H300" s="9"/>
      <c r="I300" s="16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>
      <c r="A301" s="14"/>
      <c r="B301" s="15"/>
      <c r="C301" s="16"/>
      <c r="D301" s="16"/>
      <c r="E301" s="16"/>
      <c r="F301" s="9"/>
      <c r="G301" s="16"/>
      <c r="H301" s="9"/>
      <c r="I301" s="16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>
      <c r="A302" s="14"/>
      <c r="B302" s="15"/>
      <c r="C302" s="16"/>
      <c r="D302" s="16"/>
      <c r="E302" s="16"/>
      <c r="F302" s="9"/>
      <c r="G302" s="16"/>
      <c r="H302" s="9"/>
      <c r="I302" s="16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>
      <c r="A303" s="14"/>
      <c r="B303" s="15"/>
      <c r="C303" s="16"/>
      <c r="D303" s="16"/>
      <c r="E303" s="16"/>
      <c r="F303" s="9"/>
      <c r="G303" s="16"/>
      <c r="H303" s="9"/>
      <c r="I303" s="16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>
      <c r="A304" s="14"/>
      <c r="B304" s="15"/>
      <c r="C304" s="16"/>
      <c r="D304" s="16"/>
      <c r="E304" s="16"/>
      <c r="F304" s="9"/>
      <c r="G304" s="16"/>
      <c r="H304" s="9"/>
      <c r="I304" s="16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>
      <c r="A305" s="14"/>
      <c r="B305" s="15"/>
      <c r="C305" s="16"/>
      <c r="D305" s="16"/>
      <c r="E305" s="16"/>
      <c r="F305" s="9"/>
      <c r="G305" s="16"/>
      <c r="H305" s="9"/>
      <c r="I305" s="16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>
      <c r="A306" s="14"/>
      <c r="B306" s="15"/>
      <c r="C306" s="16"/>
      <c r="D306" s="16"/>
      <c r="E306" s="16"/>
      <c r="F306" s="9"/>
      <c r="G306" s="16"/>
      <c r="H306" s="9"/>
      <c r="I306" s="16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>
      <c r="A307" s="14"/>
      <c r="B307" s="15"/>
      <c r="C307" s="16"/>
      <c r="D307" s="16"/>
      <c r="E307" s="16"/>
      <c r="F307" s="9"/>
      <c r="G307" s="16"/>
      <c r="H307" s="9"/>
      <c r="I307" s="16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>
      <c r="A308" s="14"/>
      <c r="B308" s="15"/>
      <c r="C308" s="16"/>
      <c r="D308" s="16"/>
      <c r="E308" s="16"/>
      <c r="F308" s="9"/>
      <c r="G308" s="16"/>
      <c r="H308" s="9"/>
      <c r="I308" s="16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>
      <c r="A309" s="14"/>
      <c r="B309" s="15"/>
      <c r="C309" s="16"/>
      <c r="D309" s="16"/>
      <c r="E309" s="16"/>
      <c r="F309" s="9"/>
      <c r="G309" s="16"/>
      <c r="H309" s="9"/>
      <c r="I309" s="16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>
      <c r="A310" s="14"/>
      <c r="B310" s="15"/>
      <c r="C310" s="16"/>
      <c r="D310" s="16"/>
      <c r="E310" s="16"/>
      <c r="F310" s="9"/>
      <c r="G310" s="16"/>
      <c r="H310" s="9"/>
      <c r="I310" s="16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>
      <c r="A311" s="14"/>
      <c r="B311" s="15"/>
      <c r="C311" s="16"/>
      <c r="D311" s="16"/>
      <c r="E311" s="16"/>
      <c r="F311" s="9"/>
      <c r="G311" s="16"/>
      <c r="H311" s="9"/>
      <c r="I311" s="16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>
      <c r="A312" s="14"/>
      <c r="B312" s="15"/>
      <c r="C312" s="16"/>
      <c r="D312" s="16"/>
      <c r="E312" s="16"/>
      <c r="F312" s="9"/>
      <c r="G312" s="16"/>
      <c r="H312" s="9"/>
      <c r="I312" s="16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>
      <c r="A313" s="14"/>
      <c r="B313" s="15"/>
      <c r="C313" s="16"/>
      <c r="D313" s="16"/>
      <c r="E313" s="16"/>
      <c r="F313" s="9"/>
      <c r="G313" s="16"/>
      <c r="H313" s="9"/>
      <c r="I313" s="16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>
      <c r="A314" s="14"/>
      <c r="B314" s="15"/>
      <c r="C314" s="16"/>
      <c r="D314" s="16"/>
      <c r="E314" s="16"/>
      <c r="F314" s="9"/>
      <c r="G314" s="16"/>
      <c r="H314" s="9"/>
      <c r="I314" s="16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>
      <c r="A315" s="14"/>
      <c r="B315" s="15"/>
      <c r="C315" s="16"/>
      <c r="D315" s="16"/>
      <c r="E315" s="16"/>
      <c r="F315" s="9"/>
      <c r="G315" s="16"/>
      <c r="H315" s="9"/>
      <c r="I315" s="16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>
      <c r="A316" s="14"/>
      <c r="B316" s="15"/>
      <c r="C316" s="16"/>
      <c r="D316" s="16"/>
      <c r="E316" s="16"/>
      <c r="F316" s="9"/>
      <c r="G316" s="16"/>
      <c r="H316" s="9"/>
      <c r="I316" s="16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>
      <c r="A317" s="14"/>
      <c r="B317" s="15"/>
      <c r="C317" s="16"/>
      <c r="D317" s="16"/>
      <c r="E317" s="16"/>
      <c r="F317" s="9"/>
      <c r="G317" s="16"/>
      <c r="H317" s="9"/>
      <c r="I317" s="16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>
      <c r="A318" s="14"/>
      <c r="B318" s="15"/>
      <c r="C318" s="16"/>
      <c r="D318" s="16"/>
      <c r="E318" s="16"/>
      <c r="F318" s="9"/>
      <c r="G318" s="16"/>
      <c r="H318" s="9"/>
      <c r="I318" s="16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>
      <c r="A319" s="14"/>
      <c r="B319" s="15"/>
      <c r="C319" s="16"/>
      <c r="D319" s="16"/>
      <c r="E319" s="16"/>
      <c r="F319" s="9"/>
      <c r="G319" s="16"/>
      <c r="H319" s="9"/>
      <c r="I319" s="16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>
      <c r="A320" s="14"/>
      <c r="B320" s="15"/>
      <c r="C320" s="16"/>
      <c r="D320" s="16"/>
      <c r="E320" s="16"/>
      <c r="F320" s="9"/>
      <c r="G320" s="16"/>
      <c r="H320" s="9"/>
      <c r="I320" s="16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>
      <c r="A321" s="14"/>
      <c r="B321" s="15"/>
      <c r="C321" s="16"/>
      <c r="D321" s="16"/>
      <c r="E321" s="16"/>
      <c r="F321" s="9"/>
      <c r="G321" s="16"/>
      <c r="H321" s="9"/>
      <c r="I321" s="16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>
      <c r="A322" s="14"/>
      <c r="B322" s="15"/>
      <c r="C322" s="16"/>
      <c r="D322" s="16"/>
      <c r="E322" s="16"/>
      <c r="F322" s="9"/>
      <c r="G322" s="16"/>
      <c r="H322" s="9"/>
      <c r="I322" s="16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>
      <c r="A323" s="14"/>
      <c r="B323" s="15"/>
      <c r="C323" s="16"/>
      <c r="D323" s="16"/>
      <c r="E323" s="16"/>
      <c r="F323" s="9"/>
      <c r="G323" s="16"/>
      <c r="H323" s="9"/>
      <c r="I323" s="16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>
      <c r="A324" s="14"/>
      <c r="B324" s="15"/>
      <c r="C324" s="16"/>
      <c r="D324" s="16"/>
      <c r="E324" s="16"/>
      <c r="F324" s="9"/>
      <c r="G324" s="16"/>
      <c r="H324" s="9"/>
      <c r="I324" s="16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>
      <c r="A325" s="14"/>
      <c r="B325" s="15"/>
      <c r="C325" s="16"/>
      <c r="D325" s="16"/>
      <c r="E325" s="16"/>
      <c r="F325" s="9"/>
      <c r="G325" s="16"/>
      <c r="H325" s="9"/>
      <c r="I325" s="16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>
      <c r="A326" s="14"/>
      <c r="B326" s="15"/>
      <c r="C326" s="16"/>
      <c r="D326" s="16"/>
      <c r="E326" s="16"/>
      <c r="F326" s="9"/>
      <c r="G326" s="16"/>
      <c r="H326" s="9"/>
      <c r="I326" s="16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>
      <c r="A327" s="14"/>
      <c r="B327" s="15"/>
      <c r="C327" s="16"/>
      <c r="D327" s="16"/>
      <c r="E327" s="16"/>
      <c r="F327" s="9"/>
      <c r="G327" s="16"/>
      <c r="H327" s="9"/>
      <c r="I327" s="16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>
      <c r="A328" s="14"/>
      <c r="B328" s="15"/>
      <c r="C328" s="16"/>
      <c r="D328" s="16"/>
      <c r="E328" s="16"/>
      <c r="F328" s="9"/>
      <c r="G328" s="16"/>
      <c r="H328" s="9"/>
      <c r="I328" s="16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>
      <c r="A329" s="14"/>
      <c r="B329" s="15"/>
      <c r="C329" s="16"/>
      <c r="D329" s="16"/>
      <c r="E329" s="16"/>
      <c r="F329" s="9"/>
      <c r="G329" s="16"/>
      <c r="H329" s="9"/>
      <c r="I329" s="16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>
      <c r="A330" s="14"/>
      <c r="B330" s="15"/>
      <c r="C330" s="16"/>
      <c r="D330" s="16"/>
      <c r="E330" s="16"/>
      <c r="F330" s="9"/>
      <c r="G330" s="16"/>
      <c r="H330" s="9"/>
      <c r="I330" s="16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>
      <c r="A331" s="14"/>
      <c r="B331" s="15"/>
      <c r="C331" s="16"/>
      <c r="D331" s="16"/>
      <c r="E331" s="16"/>
      <c r="F331" s="9"/>
      <c r="G331" s="16"/>
      <c r="H331" s="9"/>
      <c r="I331" s="16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>
      <c r="A332" s="14"/>
      <c r="B332" s="15"/>
      <c r="C332" s="16"/>
      <c r="D332" s="16"/>
      <c r="E332" s="16"/>
      <c r="F332" s="9"/>
      <c r="G332" s="16"/>
      <c r="H332" s="9"/>
      <c r="I332" s="16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>
      <c r="A333" s="14"/>
      <c r="B333" s="15"/>
      <c r="C333" s="16"/>
      <c r="D333" s="16"/>
      <c r="E333" s="16"/>
      <c r="F333" s="9"/>
      <c r="G333" s="16"/>
      <c r="H333" s="9"/>
      <c r="I333" s="16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>
      <c r="A334" s="14"/>
      <c r="B334" s="15"/>
      <c r="C334" s="16"/>
      <c r="D334" s="16"/>
      <c r="E334" s="16"/>
      <c r="F334" s="9"/>
      <c r="G334" s="16"/>
      <c r="H334" s="9"/>
      <c r="I334" s="16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>
      <c r="A335" s="14"/>
      <c r="B335" s="15"/>
      <c r="C335" s="16"/>
      <c r="D335" s="16"/>
      <c r="E335" s="16"/>
      <c r="F335" s="9"/>
      <c r="G335" s="16"/>
      <c r="H335" s="9"/>
      <c r="I335" s="16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>
      <c r="A336" s="14"/>
      <c r="B336" s="15"/>
      <c r="C336" s="16"/>
      <c r="D336" s="16"/>
      <c r="E336" s="16"/>
      <c r="F336" s="9"/>
      <c r="G336" s="16"/>
      <c r="H336" s="9"/>
      <c r="I336" s="16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>
      <c r="A337" s="14"/>
      <c r="B337" s="15"/>
      <c r="C337" s="16"/>
      <c r="D337" s="16"/>
      <c r="E337" s="16"/>
      <c r="F337" s="9"/>
      <c r="G337" s="16"/>
      <c r="H337" s="9"/>
      <c r="I337" s="16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>
      <c r="A338" s="14"/>
      <c r="B338" s="15"/>
      <c r="C338" s="16"/>
      <c r="D338" s="16"/>
      <c r="E338" s="16"/>
      <c r="F338" s="9"/>
      <c r="G338" s="16"/>
      <c r="H338" s="9"/>
      <c r="I338" s="16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>
      <c r="A339" s="14"/>
      <c r="B339" s="15"/>
      <c r="C339" s="16"/>
      <c r="D339" s="16"/>
      <c r="E339" s="16"/>
      <c r="F339" s="9"/>
      <c r="G339" s="16"/>
      <c r="H339" s="9"/>
      <c r="I339" s="16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>
      <c r="A340" s="14"/>
      <c r="B340" s="15"/>
      <c r="C340" s="16"/>
      <c r="D340" s="16"/>
      <c r="E340" s="16"/>
      <c r="F340" s="9"/>
      <c r="G340" s="16"/>
      <c r="H340" s="9"/>
      <c r="I340" s="16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>
      <c r="A341" s="14"/>
      <c r="B341" s="15"/>
      <c r="C341" s="16"/>
      <c r="D341" s="16"/>
      <c r="E341" s="16"/>
      <c r="F341" s="9"/>
      <c r="G341" s="16"/>
      <c r="H341" s="9"/>
      <c r="I341" s="16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>
      <c r="A342" s="14"/>
      <c r="B342" s="15"/>
      <c r="C342" s="16"/>
      <c r="D342" s="16"/>
      <c r="E342" s="16"/>
      <c r="F342" s="9"/>
      <c r="G342" s="16"/>
      <c r="H342" s="9"/>
      <c r="I342" s="16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>
      <c r="A343" s="14"/>
      <c r="B343" s="15"/>
      <c r="C343" s="16"/>
      <c r="D343" s="16"/>
      <c r="E343" s="16"/>
      <c r="F343" s="9"/>
      <c r="G343" s="16"/>
      <c r="H343" s="9"/>
      <c r="I343" s="16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>
      <c r="A344" s="14"/>
      <c r="B344" s="15"/>
      <c r="C344" s="16"/>
      <c r="D344" s="16"/>
      <c r="E344" s="16"/>
      <c r="F344" s="9"/>
      <c r="G344" s="16"/>
      <c r="H344" s="9"/>
      <c r="I344" s="16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>
      <c r="A345" s="14"/>
      <c r="B345" s="15"/>
      <c r="C345" s="16"/>
      <c r="D345" s="16"/>
      <c r="E345" s="16"/>
      <c r="F345" s="9"/>
      <c r="G345" s="16"/>
      <c r="H345" s="9"/>
      <c r="I345" s="16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>
      <c r="A346" s="14"/>
      <c r="B346" s="15"/>
      <c r="C346" s="16"/>
      <c r="D346" s="16"/>
      <c r="E346" s="16"/>
      <c r="F346" s="9"/>
      <c r="G346" s="16"/>
      <c r="H346" s="9"/>
      <c r="I346" s="16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>
      <c r="A347" s="14"/>
      <c r="B347" s="15"/>
      <c r="C347" s="16"/>
      <c r="D347" s="16"/>
      <c r="E347" s="16"/>
      <c r="F347" s="9"/>
      <c r="G347" s="16"/>
      <c r="H347" s="9"/>
      <c r="I347" s="16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>
      <c r="A348" s="14"/>
      <c r="B348" s="15"/>
      <c r="C348" s="16"/>
      <c r="D348" s="16"/>
      <c r="E348" s="16"/>
      <c r="F348" s="9"/>
      <c r="G348" s="16"/>
      <c r="H348" s="9"/>
      <c r="I348" s="16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>
      <c r="A349" s="14"/>
      <c r="B349" s="15"/>
      <c r="C349" s="16"/>
      <c r="D349" s="16"/>
      <c r="E349" s="16"/>
      <c r="F349" s="9"/>
      <c r="G349" s="16"/>
      <c r="H349" s="9"/>
      <c r="I349" s="16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>
      <c r="A350" s="14"/>
      <c r="B350" s="15"/>
      <c r="C350" s="16"/>
      <c r="D350" s="16"/>
      <c r="E350" s="16"/>
      <c r="F350" s="9"/>
      <c r="G350" s="16"/>
      <c r="H350" s="9"/>
      <c r="I350" s="16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>
      <c r="A351" s="14"/>
      <c r="B351" s="15"/>
      <c r="C351" s="16"/>
      <c r="D351" s="16"/>
      <c r="E351" s="16"/>
      <c r="F351" s="9"/>
      <c r="G351" s="16"/>
      <c r="H351" s="9"/>
      <c r="I351" s="16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>
      <c r="A352" s="14"/>
      <c r="B352" s="15"/>
      <c r="C352" s="16"/>
      <c r="D352" s="16"/>
      <c r="E352" s="16"/>
      <c r="F352" s="9"/>
      <c r="G352" s="16"/>
      <c r="H352" s="9"/>
      <c r="I352" s="16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>
      <c r="A353" s="14"/>
      <c r="B353" s="15"/>
      <c r="C353" s="16"/>
      <c r="D353" s="16"/>
      <c r="E353" s="16"/>
      <c r="F353" s="9"/>
      <c r="G353" s="16"/>
      <c r="H353" s="9"/>
      <c r="I353" s="16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>
      <c r="A354" s="14"/>
      <c r="B354" s="15"/>
      <c r="C354" s="16"/>
      <c r="D354" s="16"/>
      <c r="E354" s="16"/>
      <c r="F354" s="9"/>
      <c r="G354" s="16"/>
      <c r="H354" s="9"/>
      <c r="I354" s="16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>
      <c r="A355" s="14"/>
      <c r="B355" s="15"/>
      <c r="C355" s="16"/>
      <c r="D355" s="16"/>
      <c r="E355" s="16"/>
      <c r="F355" s="9"/>
      <c r="G355" s="16"/>
      <c r="H355" s="9"/>
      <c r="I355" s="16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>
      <c r="A356" s="14"/>
      <c r="B356" s="15"/>
      <c r="C356" s="16"/>
      <c r="D356" s="16"/>
      <c r="E356" s="16"/>
      <c r="F356" s="9"/>
      <c r="G356" s="16"/>
      <c r="H356" s="9"/>
      <c r="I356" s="16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>
      <c r="A357" s="14"/>
      <c r="B357" s="15"/>
      <c r="C357" s="16"/>
      <c r="D357" s="16"/>
      <c r="E357" s="16"/>
      <c r="F357" s="9"/>
      <c r="G357" s="16"/>
      <c r="H357" s="9"/>
      <c r="I357" s="16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>
      <c r="A358" s="14"/>
      <c r="B358" s="15"/>
      <c r="C358" s="16"/>
      <c r="D358" s="16"/>
      <c r="E358" s="16"/>
      <c r="F358" s="9"/>
      <c r="G358" s="16"/>
      <c r="H358" s="9"/>
      <c r="I358" s="16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>
      <c r="A359" s="14"/>
      <c r="B359" s="15"/>
      <c r="C359" s="16"/>
      <c r="D359" s="16"/>
      <c r="E359" s="16"/>
      <c r="F359" s="9"/>
      <c r="G359" s="16"/>
      <c r="H359" s="9"/>
      <c r="I359" s="16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>
      <c r="A360" s="14"/>
      <c r="B360" s="15"/>
      <c r="C360" s="16"/>
      <c r="D360" s="16"/>
      <c r="E360" s="16"/>
      <c r="F360" s="9"/>
      <c r="G360" s="16"/>
      <c r="H360" s="9"/>
      <c r="I360" s="16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>
      <c r="A361" s="14"/>
      <c r="B361" s="15"/>
      <c r="C361" s="16"/>
      <c r="D361" s="16"/>
      <c r="E361" s="16"/>
      <c r="F361" s="9"/>
      <c r="G361" s="16"/>
      <c r="H361" s="9"/>
      <c r="I361" s="16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>
      <c r="A362" s="14"/>
      <c r="B362" s="15"/>
      <c r="C362" s="16"/>
      <c r="D362" s="16"/>
      <c r="E362" s="16"/>
      <c r="F362" s="9"/>
      <c r="G362" s="16"/>
      <c r="H362" s="9"/>
      <c r="I362" s="16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>
      <c r="A363" s="14"/>
      <c r="B363" s="15"/>
      <c r="C363" s="16"/>
      <c r="D363" s="16"/>
      <c r="E363" s="16"/>
      <c r="F363" s="9"/>
      <c r="G363" s="16"/>
      <c r="H363" s="9"/>
      <c r="I363" s="16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>
      <c r="A364" s="14"/>
      <c r="B364" s="15"/>
      <c r="C364" s="16"/>
      <c r="D364" s="16"/>
      <c r="E364" s="16"/>
      <c r="F364" s="9"/>
      <c r="G364" s="16"/>
      <c r="H364" s="9"/>
      <c r="I364" s="16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>
      <c r="A365" s="14"/>
      <c r="B365" s="15"/>
      <c r="C365" s="16"/>
      <c r="D365" s="16"/>
      <c r="E365" s="16"/>
      <c r="F365" s="9"/>
      <c r="G365" s="16"/>
      <c r="H365" s="9"/>
      <c r="I365" s="16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>
      <c r="A366" s="14"/>
      <c r="B366" s="15"/>
      <c r="C366" s="16"/>
      <c r="D366" s="16"/>
      <c r="E366" s="16"/>
      <c r="F366" s="9"/>
      <c r="G366" s="16"/>
      <c r="H366" s="9"/>
      <c r="I366" s="16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>
      <c r="A367" s="14"/>
      <c r="B367" s="15"/>
      <c r="C367" s="16"/>
      <c r="D367" s="16"/>
      <c r="E367" s="16"/>
      <c r="F367" s="9"/>
      <c r="G367" s="16"/>
      <c r="H367" s="9"/>
      <c r="I367" s="16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>
      <c r="A368" s="14"/>
      <c r="B368" s="15"/>
      <c r="C368" s="16"/>
      <c r="D368" s="16"/>
      <c r="E368" s="16"/>
      <c r="F368" s="9"/>
      <c r="G368" s="16"/>
      <c r="H368" s="9"/>
      <c r="I368" s="16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>
      <c r="A369" s="14"/>
      <c r="B369" s="15"/>
      <c r="C369" s="16"/>
      <c r="D369" s="16"/>
      <c r="E369" s="16"/>
      <c r="F369" s="9"/>
      <c r="G369" s="16"/>
      <c r="H369" s="9"/>
      <c r="I369" s="16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>
      <c r="A370" s="14"/>
      <c r="B370" s="15"/>
      <c r="C370" s="16"/>
      <c r="D370" s="16"/>
      <c r="E370" s="16"/>
      <c r="F370" s="9"/>
      <c r="G370" s="16"/>
      <c r="H370" s="9"/>
      <c r="I370" s="16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>
      <c r="A371" s="14"/>
      <c r="B371" s="15"/>
      <c r="C371" s="16"/>
      <c r="D371" s="16"/>
      <c r="E371" s="16"/>
      <c r="F371" s="9"/>
      <c r="G371" s="16"/>
      <c r="H371" s="9"/>
      <c r="I371" s="16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>
      <c r="A372" s="14"/>
      <c r="B372" s="15"/>
      <c r="C372" s="16"/>
      <c r="D372" s="16"/>
      <c r="E372" s="16"/>
      <c r="F372" s="9"/>
      <c r="G372" s="16"/>
      <c r="H372" s="9"/>
      <c r="I372" s="16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>
      <c r="A373" s="14"/>
      <c r="B373" s="15"/>
      <c r="C373" s="16"/>
      <c r="D373" s="16"/>
      <c r="E373" s="16"/>
      <c r="F373" s="9"/>
      <c r="G373" s="16"/>
      <c r="H373" s="9"/>
      <c r="I373" s="16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>
      <c r="A374" s="14"/>
      <c r="B374" s="15"/>
      <c r="C374" s="16"/>
      <c r="D374" s="16"/>
      <c r="E374" s="16"/>
      <c r="F374" s="9"/>
      <c r="G374" s="16"/>
      <c r="H374" s="9"/>
      <c r="I374" s="16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>
      <c r="A375" s="14"/>
      <c r="B375" s="15"/>
      <c r="C375" s="16"/>
      <c r="D375" s="16"/>
      <c r="E375" s="16"/>
      <c r="F375" s="9"/>
      <c r="G375" s="16"/>
      <c r="H375" s="9"/>
      <c r="I375" s="16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>
      <c r="A376" s="14"/>
      <c r="B376" s="15"/>
      <c r="C376" s="16"/>
      <c r="D376" s="16"/>
      <c r="E376" s="16"/>
      <c r="F376" s="9"/>
      <c r="G376" s="16"/>
      <c r="H376" s="9"/>
      <c r="I376" s="16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>
      <c r="A377" s="14"/>
      <c r="B377" s="15"/>
      <c r="C377" s="16"/>
      <c r="D377" s="16"/>
      <c r="E377" s="16"/>
      <c r="F377" s="9"/>
      <c r="G377" s="16"/>
      <c r="H377" s="9"/>
      <c r="I377" s="16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>
      <c r="A378" s="14"/>
      <c r="B378" s="15"/>
      <c r="C378" s="16"/>
      <c r="D378" s="16"/>
      <c r="E378" s="16"/>
      <c r="F378" s="9"/>
      <c r="G378" s="16"/>
      <c r="H378" s="9"/>
      <c r="I378" s="16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>
      <c r="A379" s="14"/>
      <c r="B379" s="15"/>
      <c r="C379" s="16"/>
      <c r="D379" s="16"/>
      <c r="E379" s="16"/>
      <c r="F379" s="9"/>
      <c r="G379" s="16"/>
      <c r="H379" s="9"/>
      <c r="I379" s="16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>
      <c r="A380" s="14"/>
      <c r="B380" s="15"/>
      <c r="C380" s="16"/>
      <c r="D380" s="16"/>
      <c r="E380" s="16"/>
      <c r="F380" s="9"/>
      <c r="G380" s="16"/>
      <c r="H380" s="9"/>
      <c r="I380" s="16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>
      <c r="A381" s="14"/>
      <c r="B381" s="15"/>
      <c r="C381" s="16"/>
      <c r="D381" s="16"/>
      <c r="E381" s="16"/>
      <c r="F381" s="9"/>
      <c r="G381" s="16"/>
      <c r="H381" s="9"/>
      <c r="I381" s="16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>
      <c r="A382" s="14"/>
      <c r="B382" s="15"/>
      <c r="C382" s="16"/>
      <c r="D382" s="16"/>
      <c r="E382" s="16"/>
      <c r="F382" s="9"/>
      <c r="G382" s="16"/>
      <c r="H382" s="9"/>
      <c r="I382" s="16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>
      <c r="A383" s="14"/>
      <c r="B383" s="15"/>
      <c r="C383" s="16"/>
      <c r="D383" s="16"/>
      <c r="E383" s="16"/>
      <c r="F383" s="9"/>
      <c r="G383" s="16"/>
      <c r="H383" s="9"/>
      <c r="I383" s="16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>
      <c r="A384" s="14"/>
      <c r="B384" s="15"/>
      <c r="C384" s="16"/>
      <c r="D384" s="16"/>
      <c r="E384" s="16"/>
      <c r="F384" s="9"/>
      <c r="G384" s="16"/>
      <c r="H384" s="9"/>
      <c r="I384" s="16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>
      <c r="A385" s="14"/>
      <c r="B385" s="15"/>
      <c r="C385" s="16"/>
      <c r="D385" s="16"/>
      <c r="E385" s="16"/>
      <c r="F385" s="9"/>
      <c r="G385" s="16"/>
      <c r="H385" s="9"/>
      <c r="I385" s="16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>
      <c r="A386" s="14"/>
      <c r="B386" s="15"/>
      <c r="C386" s="16"/>
      <c r="D386" s="16"/>
      <c r="E386" s="16"/>
      <c r="F386" s="9"/>
      <c r="G386" s="16"/>
      <c r="H386" s="9"/>
      <c r="I386" s="16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>
      <c r="A387" s="14"/>
      <c r="B387" s="15"/>
      <c r="C387" s="16"/>
      <c r="D387" s="16"/>
      <c r="E387" s="16"/>
      <c r="F387" s="9"/>
      <c r="G387" s="16"/>
      <c r="H387" s="9"/>
      <c r="I387" s="16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>
      <c r="A388" s="14"/>
      <c r="B388" s="15"/>
      <c r="C388" s="16"/>
      <c r="D388" s="16"/>
      <c r="E388" s="16"/>
      <c r="F388" s="9"/>
      <c r="G388" s="16"/>
      <c r="H388" s="9"/>
      <c r="I388" s="16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>
      <c r="A389" s="14"/>
      <c r="B389" s="15"/>
      <c r="C389" s="16"/>
      <c r="D389" s="16"/>
      <c r="E389" s="16"/>
      <c r="F389" s="9"/>
      <c r="G389" s="16"/>
      <c r="H389" s="9"/>
      <c r="I389" s="16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>
      <c r="A390" s="14"/>
      <c r="B390" s="15"/>
      <c r="C390" s="16"/>
      <c r="D390" s="16"/>
      <c r="E390" s="16"/>
      <c r="F390" s="9"/>
      <c r="G390" s="16"/>
      <c r="H390" s="9"/>
      <c r="I390" s="16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>
      <c r="A391" s="14"/>
      <c r="B391" s="15"/>
      <c r="C391" s="16"/>
      <c r="D391" s="16"/>
      <c r="E391" s="16"/>
      <c r="F391" s="9"/>
      <c r="G391" s="16"/>
      <c r="H391" s="9"/>
      <c r="I391" s="16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>
      <c r="A392" s="14"/>
      <c r="B392" s="15"/>
      <c r="C392" s="16"/>
      <c r="D392" s="16"/>
      <c r="E392" s="16"/>
      <c r="F392" s="9"/>
      <c r="G392" s="16"/>
      <c r="H392" s="9"/>
      <c r="I392" s="16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>
      <c r="A393" s="14"/>
      <c r="B393" s="15"/>
      <c r="C393" s="16"/>
      <c r="D393" s="16"/>
      <c r="E393" s="16"/>
      <c r="F393" s="9"/>
      <c r="G393" s="16"/>
      <c r="H393" s="9"/>
      <c r="I393" s="16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>
      <c r="A394" s="14"/>
      <c r="B394" s="15"/>
      <c r="C394" s="16"/>
      <c r="D394" s="16"/>
      <c r="E394" s="16"/>
      <c r="F394" s="9"/>
      <c r="G394" s="16"/>
      <c r="H394" s="9"/>
      <c r="I394" s="16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>
      <c r="A395" s="14"/>
      <c r="B395" s="15"/>
      <c r="C395" s="16"/>
      <c r="D395" s="16"/>
      <c r="E395" s="16"/>
      <c r="F395" s="9"/>
      <c r="G395" s="16"/>
      <c r="H395" s="9"/>
      <c r="I395" s="16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>
      <c r="A396" s="14"/>
      <c r="B396" s="15"/>
      <c r="C396" s="16"/>
      <c r="D396" s="16"/>
      <c r="E396" s="16"/>
      <c r="F396" s="9"/>
      <c r="G396" s="16"/>
      <c r="H396" s="9"/>
      <c r="I396" s="16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>
      <c r="A397" s="14"/>
      <c r="B397" s="15"/>
      <c r="C397" s="16"/>
      <c r="D397" s="16"/>
      <c r="E397" s="16"/>
      <c r="F397" s="9"/>
      <c r="G397" s="16"/>
      <c r="H397" s="9"/>
      <c r="I397" s="16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>
      <c r="A398" s="14"/>
      <c r="B398" s="15"/>
      <c r="C398" s="16"/>
      <c r="D398" s="16"/>
      <c r="E398" s="16"/>
      <c r="F398" s="9"/>
      <c r="G398" s="16"/>
      <c r="H398" s="9"/>
      <c r="I398" s="16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>
      <c r="A399" s="14"/>
      <c r="B399" s="15"/>
      <c r="C399" s="16"/>
      <c r="D399" s="16"/>
      <c r="E399" s="16"/>
      <c r="F399" s="9"/>
      <c r="G399" s="16"/>
      <c r="H399" s="9"/>
      <c r="I399" s="16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>
      <c r="A400" s="14"/>
      <c r="B400" s="15"/>
      <c r="C400" s="16"/>
      <c r="D400" s="16"/>
      <c r="E400" s="16"/>
      <c r="F400" s="9"/>
      <c r="G400" s="16"/>
      <c r="H400" s="9"/>
      <c r="I400" s="16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>
      <c r="A401" s="14"/>
      <c r="B401" s="15"/>
      <c r="C401" s="16"/>
      <c r="D401" s="16"/>
      <c r="E401" s="16"/>
      <c r="F401" s="9"/>
      <c r="G401" s="16"/>
      <c r="H401" s="9"/>
      <c r="I401" s="16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>
      <c r="A402" s="14"/>
      <c r="B402" s="15"/>
      <c r="C402" s="16"/>
      <c r="D402" s="16"/>
      <c r="E402" s="16"/>
      <c r="F402" s="9"/>
      <c r="G402" s="16"/>
      <c r="H402" s="9"/>
      <c r="I402" s="16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>
      <c r="A403" s="14"/>
      <c r="B403" s="15"/>
      <c r="C403" s="16"/>
      <c r="D403" s="16"/>
      <c r="E403" s="16"/>
      <c r="F403" s="9"/>
      <c r="G403" s="16"/>
      <c r="H403" s="9"/>
      <c r="I403" s="16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>
      <c r="A404" s="14"/>
      <c r="B404" s="15"/>
      <c r="C404" s="16"/>
      <c r="D404" s="16"/>
      <c r="E404" s="16"/>
      <c r="F404" s="9"/>
      <c r="G404" s="16"/>
      <c r="H404" s="9"/>
      <c r="I404" s="16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>
      <c r="A405" s="14"/>
      <c r="B405" s="15"/>
      <c r="C405" s="16"/>
      <c r="D405" s="16"/>
      <c r="E405" s="16"/>
      <c r="F405" s="9"/>
      <c r="G405" s="16"/>
      <c r="H405" s="9"/>
      <c r="I405" s="16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>
      <c r="A406" s="14"/>
      <c r="B406" s="15"/>
      <c r="C406" s="16"/>
      <c r="D406" s="16"/>
      <c r="E406" s="16"/>
      <c r="F406" s="9"/>
      <c r="G406" s="16"/>
      <c r="H406" s="9"/>
      <c r="I406" s="16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>
      <c r="A407" s="14"/>
      <c r="B407" s="15"/>
      <c r="C407" s="16"/>
      <c r="D407" s="16"/>
      <c r="E407" s="16"/>
      <c r="F407" s="9"/>
      <c r="G407" s="16"/>
      <c r="H407" s="9"/>
      <c r="I407" s="16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>
      <c r="A408" s="14"/>
      <c r="B408" s="15"/>
      <c r="C408" s="16"/>
      <c r="D408" s="16"/>
      <c r="E408" s="16"/>
      <c r="F408" s="9"/>
      <c r="G408" s="16"/>
      <c r="H408" s="9"/>
      <c r="I408" s="16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>
      <c r="A409" s="14"/>
      <c r="B409" s="15"/>
      <c r="C409" s="16"/>
      <c r="D409" s="16"/>
      <c r="E409" s="16"/>
      <c r="F409" s="9"/>
      <c r="G409" s="16"/>
      <c r="H409" s="9"/>
      <c r="I409" s="16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>
      <c r="A410" s="14"/>
      <c r="B410" s="15"/>
      <c r="C410" s="16"/>
      <c r="D410" s="16"/>
      <c r="E410" s="16"/>
      <c r="F410" s="9"/>
      <c r="G410" s="16"/>
      <c r="H410" s="9"/>
      <c r="I410" s="16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>
      <c r="A411" s="14"/>
      <c r="B411" s="15"/>
      <c r="C411" s="16"/>
      <c r="D411" s="16"/>
      <c r="E411" s="16"/>
      <c r="F411" s="9"/>
      <c r="G411" s="16"/>
      <c r="H411" s="9"/>
      <c r="I411" s="16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>
      <c r="A412" s="14"/>
      <c r="B412" s="15"/>
      <c r="C412" s="16"/>
      <c r="D412" s="16"/>
      <c r="E412" s="16"/>
      <c r="F412" s="9"/>
      <c r="G412" s="16"/>
      <c r="H412" s="9"/>
      <c r="I412" s="16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>
      <c r="A413" s="14"/>
      <c r="B413" s="15"/>
      <c r="C413" s="16"/>
      <c r="D413" s="16"/>
      <c r="E413" s="16"/>
      <c r="F413" s="9"/>
      <c r="G413" s="16"/>
      <c r="H413" s="9"/>
      <c r="I413" s="16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>
      <c r="A414" s="14"/>
      <c r="B414" s="15"/>
      <c r="C414" s="16"/>
      <c r="D414" s="16"/>
      <c r="E414" s="16"/>
      <c r="F414" s="9"/>
      <c r="G414" s="16"/>
      <c r="H414" s="9"/>
      <c r="I414" s="16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>
      <c r="A415" s="14"/>
      <c r="B415" s="15"/>
      <c r="C415" s="16"/>
      <c r="D415" s="16"/>
      <c r="E415" s="16"/>
      <c r="F415" s="9"/>
      <c r="G415" s="16"/>
      <c r="H415" s="9"/>
      <c r="I415" s="16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>
      <c r="A416" s="14"/>
      <c r="B416" s="15"/>
      <c r="C416" s="16"/>
      <c r="D416" s="16"/>
      <c r="E416" s="16"/>
      <c r="F416" s="9"/>
      <c r="G416" s="16"/>
      <c r="H416" s="9"/>
      <c r="I416" s="16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>
      <c r="A417" s="14"/>
      <c r="B417" s="15"/>
      <c r="C417" s="16"/>
      <c r="D417" s="16"/>
      <c r="E417" s="16"/>
      <c r="F417" s="9"/>
      <c r="G417" s="16"/>
      <c r="H417" s="9"/>
      <c r="I417" s="16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>
      <c r="A418" s="14"/>
      <c r="B418" s="15"/>
      <c r="C418" s="16"/>
      <c r="D418" s="16"/>
      <c r="E418" s="16"/>
      <c r="F418" s="9"/>
      <c r="G418" s="16"/>
      <c r="H418" s="9"/>
      <c r="I418" s="16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>
      <c r="A419" s="14"/>
      <c r="B419" s="15"/>
      <c r="C419" s="16"/>
      <c r="D419" s="16"/>
      <c r="E419" s="16"/>
      <c r="F419" s="9"/>
      <c r="G419" s="16"/>
      <c r="H419" s="9"/>
      <c r="I419" s="16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>
      <c r="A420" s="14"/>
      <c r="B420" s="15"/>
      <c r="C420" s="16"/>
      <c r="D420" s="16"/>
      <c r="E420" s="16"/>
      <c r="F420" s="9"/>
      <c r="G420" s="16"/>
      <c r="H420" s="9"/>
      <c r="I420" s="16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>
      <c r="A421" s="14"/>
      <c r="B421" s="15"/>
      <c r="C421" s="16"/>
      <c r="D421" s="16"/>
      <c r="E421" s="16"/>
      <c r="F421" s="9"/>
      <c r="G421" s="16"/>
      <c r="H421" s="9"/>
      <c r="I421" s="16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>
      <c r="A422" s="14"/>
      <c r="B422" s="15"/>
      <c r="C422" s="16"/>
      <c r="D422" s="16"/>
      <c r="E422" s="16"/>
      <c r="F422" s="9"/>
      <c r="G422" s="16"/>
      <c r="H422" s="9"/>
      <c r="I422" s="16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>
      <c r="A423" s="14"/>
      <c r="B423" s="15"/>
      <c r="C423" s="16"/>
      <c r="D423" s="16"/>
      <c r="E423" s="16"/>
      <c r="F423" s="9"/>
      <c r="G423" s="16"/>
      <c r="H423" s="9"/>
      <c r="I423" s="16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>
      <c r="A424" s="14"/>
      <c r="B424" s="15"/>
      <c r="C424" s="16"/>
      <c r="D424" s="16"/>
      <c r="E424" s="16"/>
      <c r="F424" s="9"/>
      <c r="G424" s="16"/>
      <c r="H424" s="9"/>
      <c r="I424" s="16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>
      <c r="A425" s="14"/>
      <c r="B425" s="15"/>
      <c r="C425" s="16"/>
      <c r="D425" s="16"/>
      <c r="E425" s="16"/>
      <c r="F425" s="9"/>
      <c r="G425" s="16"/>
      <c r="H425" s="9"/>
      <c r="I425" s="16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>
      <c r="A426" s="14"/>
      <c r="B426" s="15"/>
      <c r="C426" s="16"/>
      <c r="D426" s="16"/>
      <c r="E426" s="16"/>
      <c r="F426" s="9"/>
      <c r="G426" s="16"/>
      <c r="H426" s="9"/>
      <c r="I426" s="16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>
      <c r="A427" s="14"/>
      <c r="B427" s="15"/>
      <c r="C427" s="16"/>
      <c r="D427" s="16"/>
      <c r="E427" s="16"/>
      <c r="F427" s="9"/>
      <c r="G427" s="16"/>
      <c r="H427" s="9"/>
      <c r="I427" s="16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>
      <c r="A428" s="14"/>
      <c r="B428" s="15"/>
      <c r="C428" s="16"/>
      <c r="D428" s="16"/>
      <c r="E428" s="16"/>
      <c r="F428" s="9"/>
      <c r="G428" s="16"/>
      <c r="H428" s="9"/>
      <c r="I428" s="16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>
      <c r="A429" s="14"/>
      <c r="B429" s="15"/>
      <c r="C429" s="16"/>
      <c r="D429" s="16"/>
      <c r="E429" s="16"/>
      <c r="F429" s="9"/>
      <c r="G429" s="16"/>
      <c r="H429" s="9"/>
      <c r="I429" s="16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>
      <c r="A430" s="14"/>
      <c r="B430" s="15"/>
      <c r="C430" s="16"/>
      <c r="D430" s="16"/>
      <c r="E430" s="16"/>
      <c r="F430" s="9"/>
      <c r="G430" s="16"/>
      <c r="H430" s="9"/>
      <c r="I430" s="16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>
      <c r="A431" s="14"/>
      <c r="B431" s="15"/>
      <c r="C431" s="16"/>
      <c r="D431" s="16"/>
      <c r="E431" s="16"/>
      <c r="F431" s="9"/>
      <c r="G431" s="16"/>
      <c r="H431" s="9"/>
      <c r="I431" s="16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>
      <c r="A432" s="14"/>
      <c r="B432" s="15"/>
      <c r="C432" s="16"/>
      <c r="D432" s="16"/>
      <c r="E432" s="16"/>
      <c r="F432" s="9"/>
      <c r="G432" s="16"/>
      <c r="H432" s="9"/>
      <c r="I432" s="16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>
      <c r="A433" s="14"/>
      <c r="B433" s="15"/>
      <c r="C433" s="16"/>
      <c r="D433" s="16"/>
      <c r="E433" s="16"/>
      <c r="F433" s="9"/>
      <c r="G433" s="16"/>
      <c r="H433" s="9"/>
      <c r="I433" s="16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>
      <c r="A434" s="14"/>
      <c r="B434" s="15"/>
      <c r="C434" s="16"/>
      <c r="D434" s="16"/>
      <c r="E434" s="16"/>
      <c r="F434" s="9"/>
      <c r="G434" s="16"/>
      <c r="H434" s="9"/>
      <c r="I434" s="16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>
      <c r="A435" s="14"/>
      <c r="B435" s="15"/>
      <c r="C435" s="16"/>
      <c r="D435" s="16"/>
      <c r="E435" s="16"/>
      <c r="F435" s="9"/>
      <c r="G435" s="16"/>
      <c r="H435" s="9"/>
      <c r="I435" s="16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>
      <c r="A436" s="14"/>
      <c r="B436" s="15"/>
      <c r="C436" s="16"/>
      <c r="D436" s="16"/>
      <c r="E436" s="16"/>
      <c r="F436" s="9"/>
      <c r="G436" s="16"/>
      <c r="H436" s="9"/>
      <c r="I436" s="16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>
      <c r="A437" s="14"/>
      <c r="B437" s="15"/>
      <c r="C437" s="16"/>
      <c r="D437" s="16"/>
      <c r="E437" s="16"/>
      <c r="F437" s="9"/>
      <c r="G437" s="16"/>
      <c r="H437" s="9"/>
      <c r="I437" s="16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>
      <c r="A438" s="14"/>
      <c r="B438" s="15"/>
      <c r="C438" s="16"/>
      <c r="D438" s="16"/>
      <c r="E438" s="16"/>
      <c r="F438" s="9"/>
      <c r="G438" s="16"/>
      <c r="H438" s="9"/>
      <c r="I438" s="16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>
      <c r="A439" s="14"/>
      <c r="B439" s="15"/>
      <c r="C439" s="16"/>
      <c r="D439" s="16"/>
      <c r="E439" s="16"/>
      <c r="F439" s="9"/>
      <c r="G439" s="16"/>
      <c r="H439" s="9"/>
      <c r="I439" s="16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>
      <c r="A440" s="14"/>
      <c r="B440" s="15"/>
      <c r="C440" s="16"/>
      <c r="D440" s="16"/>
      <c r="E440" s="16"/>
      <c r="F440" s="9"/>
      <c r="G440" s="16"/>
      <c r="H440" s="9"/>
      <c r="I440" s="16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>
      <c r="A441" s="14"/>
      <c r="B441" s="15"/>
      <c r="C441" s="16"/>
      <c r="D441" s="16"/>
      <c r="E441" s="16"/>
      <c r="F441" s="9"/>
      <c r="G441" s="16"/>
      <c r="H441" s="9"/>
      <c r="I441" s="16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>
      <c r="A442" s="14"/>
      <c r="B442" s="15"/>
      <c r="C442" s="16"/>
      <c r="D442" s="16"/>
      <c r="E442" s="16"/>
      <c r="F442" s="9"/>
      <c r="G442" s="16"/>
      <c r="H442" s="9"/>
      <c r="I442" s="16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>
      <c r="A443" s="14"/>
      <c r="B443" s="15"/>
      <c r="C443" s="16"/>
      <c r="D443" s="16"/>
      <c r="E443" s="16"/>
      <c r="F443" s="9"/>
      <c r="G443" s="16"/>
      <c r="H443" s="9"/>
      <c r="I443" s="16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>
      <c r="A444" s="14"/>
      <c r="B444" s="15"/>
      <c r="C444" s="16"/>
      <c r="D444" s="16"/>
      <c r="E444" s="16"/>
      <c r="F444" s="9"/>
      <c r="G444" s="16"/>
      <c r="H444" s="9"/>
      <c r="I444" s="16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>
      <c r="A445" s="14"/>
      <c r="B445" s="15"/>
      <c r="C445" s="16"/>
      <c r="D445" s="16"/>
      <c r="E445" s="16"/>
      <c r="F445" s="9"/>
      <c r="G445" s="16"/>
      <c r="H445" s="9"/>
      <c r="I445" s="16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>
      <c r="A446" s="14"/>
      <c r="B446" s="15"/>
      <c r="C446" s="16"/>
      <c r="D446" s="16"/>
      <c r="E446" s="16"/>
      <c r="F446" s="9"/>
      <c r="G446" s="16"/>
      <c r="H446" s="9"/>
      <c r="I446" s="16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>
      <c r="A447" s="14"/>
      <c r="B447" s="15"/>
      <c r="C447" s="16"/>
      <c r="D447" s="16"/>
      <c r="E447" s="16"/>
      <c r="F447" s="9"/>
      <c r="G447" s="16"/>
      <c r="H447" s="9"/>
      <c r="I447" s="16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>
      <c r="A448" s="14"/>
      <c r="B448" s="15"/>
      <c r="C448" s="16"/>
      <c r="D448" s="16"/>
      <c r="E448" s="16"/>
      <c r="F448" s="9"/>
      <c r="G448" s="16"/>
      <c r="H448" s="9"/>
      <c r="I448" s="16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>
      <c r="A449" s="14"/>
      <c r="B449" s="15"/>
      <c r="C449" s="16"/>
      <c r="D449" s="16"/>
      <c r="E449" s="16"/>
      <c r="F449" s="9"/>
      <c r="G449" s="16"/>
      <c r="H449" s="9"/>
      <c r="I449" s="16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>
      <c r="A450" s="14"/>
      <c r="B450" s="15"/>
      <c r="C450" s="16"/>
      <c r="D450" s="16"/>
      <c r="E450" s="16"/>
      <c r="F450" s="9"/>
      <c r="G450" s="16"/>
      <c r="H450" s="9"/>
      <c r="I450" s="16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>
      <c r="A451" s="14"/>
      <c r="B451" s="15"/>
      <c r="C451" s="16"/>
      <c r="D451" s="16"/>
      <c r="E451" s="16"/>
      <c r="F451" s="9"/>
      <c r="G451" s="16"/>
      <c r="H451" s="9"/>
      <c r="I451" s="16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>
      <c r="A452" s="14"/>
      <c r="B452" s="15"/>
      <c r="C452" s="16"/>
      <c r="D452" s="16"/>
      <c r="E452" s="16"/>
      <c r="F452" s="9"/>
      <c r="G452" s="16"/>
      <c r="H452" s="9"/>
      <c r="I452" s="16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>
      <c r="A453" s="14"/>
      <c r="B453" s="15"/>
      <c r="C453" s="16"/>
      <c r="D453" s="16"/>
      <c r="E453" s="16"/>
      <c r="F453" s="9"/>
      <c r="G453" s="16"/>
      <c r="H453" s="9"/>
      <c r="I453" s="16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>
      <c r="A454" s="14"/>
      <c r="B454" s="15"/>
      <c r="C454" s="16"/>
      <c r="D454" s="16"/>
      <c r="E454" s="16"/>
      <c r="F454" s="9"/>
      <c r="G454" s="16"/>
      <c r="H454" s="9"/>
      <c r="I454" s="16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>
      <c r="A455" s="14"/>
      <c r="B455" s="15"/>
      <c r="C455" s="16"/>
      <c r="D455" s="16"/>
      <c r="E455" s="16"/>
      <c r="F455" s="9"/>
      <c r="G455" s="16"/>
      <c r="H455" s="9"/>
      <c r="I455" s="16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>
      <c r="A456" s="14"/>
      <c r="B456" s="15"/>
      <c r="C456" s="16"/>
      <c r="D456" s="16"/>
      <c r="E456" s="16"/>
      <c r="F456" s="9"/>
      <c r="G456" s="16"/>
      <c r="H456" s="9"/>
      <c r="I456" s="16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>
      <c r="A457" s="14"/>
      <c r="B457" s="15"/>
      <c r="C457" s="16"/>
      <c r="D457" s="16"/>
      <c r="E457" s="16"/>
      <c r="F457" s="9"/>
      <c r="G457" s="16"/>
      <c r="H457" s="9"/>
      <c r="I457" s="16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>
      <c r="A458" s="14"/>
      <c r="B458" s="15"/>
      <c r="C458" s="16"/>
      <c r="D458" s="16"/>
      <c r="E458" s="16"/>
      <c r="F458" s="9"/>
      <c r="G458" s="16"/>
      <c r="H458" s="9"/>
      <c r="I458" s="16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>
      <c r="A459" s="14"/>
      <c r="B459" s="15"/>
      <c r="C459" s="16"/>
      <c r="D459" s="16"/>
      <c r="E459" s="16"/>
      <c r="F459" s="9"/>
      <c r="G459" s="16"/>
      <c r="H459" s="9"/>
      <c r="I459" s="16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>
      <c r="A460" s="14"/>
      <c r="B460" s="15"/>
      <c r="C460" s="16"/>
      <c r="D460" s="16"/>
      <c r="E460" s="16"/>
      <c r="F460" s="9"/>
      <c r="G460" s="16"/>
      <c r="H460" s="9"/>
      <c r="I460" s="16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>
      <c r="A461" s="14"/>
      <c r="B461" s="15"/>
      <c r="C461" s="16"/>
      <c r="D461" s="16"/>
      <c r="E461" s="16"/>
      <c r="F461" s="9"/>
      <c r="G461" s="16"/>
      <c r="H461" s="9"/>
      <c r="I461" s="16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>
      <c r="A462" s="14"/>
      <c r="B462" s="15"/>
      <c r="C462" s="16"/>
      <c r="D462" s="16"/>
      <c r="E462" s="16"/>
      <c r="F462" s="9"/>
      <c r="G462" s="16"/>
      <c r="H462" s="9"/>
      <c r="I462" s="16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>
      <c r="A463" s="14"/>
      <c r="B463" s="15"/>
      <c r="C463" s="16"/>
      <c r="D463" s="16"/>
      <c r="E463" s="16"/>
      <c r="F463" s="9"/>
      <c r="G463" s="16"/>
      <c r="H463" s="9"/>
      <c r="I463" s="16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>
      <c r="A464" s="14"/>
      <c r="B464" s="15"/>
      <c r="C464" s="16"/>
      <c r="D464" s="16"/>
      <c r="E464" s="16"/>
      <c r="F464" s="9"/>
      <c r="G464" s="16"/>
      <c r="H464" s="9"/>
      <c r="I464" s="16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>
      <c r="A465" s="14"/>
      <c r="B465" s="15"/>
      <c r="C465" s="16"/>
      <c r="D465" s="16"/>
      <c r="E465" s="16"/>
      <c r="F465" s="9"/>
      <c r="G465" s="16"/>
      <c r="H465" s="9"/>
      <c r="I465" s="16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>
      <c r="A466" s="14"/>
      <c r="B466" s="15"/>
      <c r="C466" s="16"/>
      <c r="D466" s="16"/>
      <c r="E466" s="16"/>
      <c r="F466" s="9"/>
      <c r="G466" s="16"/>
      <c r="H466" s="9"/>
      <c r="I466" s="16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>
      <c r="A467" s="14"/>
      <c r="B467" s="15"/>
      <c r="C467" s="16"/>
      <c r="D467" s="16"/>
      <c r="E467" s="16"/>
      <c r="F467" s="9"/>
      <c r="G467" s="16"/>
      <c r="H467" s="9"/>
      <c r="I467" s="16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>
      <c r="A468" s="14"/>
      <c r="B468" s="15"/>
      <c r="C468" s="16"/>
      <c r="D468" s="16"/>
      <c r="E468" s="16"/>
      <c r="F468" s="9"/>
      <c r="G468" s="16"/>
      <c r="H468" s="9"/>
      <c r="I468" s="16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>
      <c r="A469" s="14"/>
      <c r="B469" s="15"/>
      <c r="C469" s="16"/>
      <c r="D469" s="16"/>
      <c r="E469" s="16"/>
      <c r="F469" s="9"/>
      <c r="G469" s="16"/>
      <c r="H469" s="9"/>
      <c r="I469" s="16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>
      <c r="A470" s="14"/>
      <c r="B470" s="15"/>
      <c r="C470" s="16"/>
      <c r="D470" s="16"/>
      <c r="E470" s="16"/>
      <c r="F470" s="9"/>
      <c r="G470" s="16"/>
      <c r="H470" s="9"/>
      <c r="I470" s="16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>
      <c r="A471" s="14"/>
      <c r="B471" s="15"/>
      <c r="C471" s="16"/>
      <c r="D471" s="16"/>
      <c r="E471" s="16"/>
      <c r="F471" s="9"/>
      <c r="G471" s="16"/>
      <c r="H471" s="9"/>
      <c r="I471" s="16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>
      <c r="A472" s="14"/>
      <c r="B472" s="15"/>
      <c r="C472" s="16"/>
      <c r="D472" s="16"/>
      <c r="E472" s="16"/>
      <c r="F472" s="9"/>
      <c r="G472" s="16"/>
      <c r="H472" s="9"/>
      <c r="I472" s="16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>
      <c r="A473" s="14"/>
      <c r="B473" s="15"/>
      <c r="C473" s="16"/>
      <c r="D473" s="16"/>
      <c r="E473" s="16"/>
      <c r="F473" s="9"/>
      <c r="G473" s="16"/>
      <c r="H473" s="9"/>
      <c r="I473" s="16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>
      <c r="A474" s="14"/>
      <c r="B474" s="15"/>
      <c r="C474" s="16"/>
      <c r="D474" s="16"/>
      <c r="E474" s="16"/>
      <c r="F474" s="9"/>
      <c r="G474" s="16"/>
      <c r="H474" s="9"/>
      <c r="I474" s="16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>
      <c r="A475" s="14"/>
      <c r="B475" s="15"/>
      <c r="C475" s="16"/>
      <c r="D475" s="16"/>
      <c r="E475" s="16"/>
      <c r="F475" s="9"/>
      <c r="G475" s="16"/>
      <c r="H475" s="9"/>
      <c r="I475" s="16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>
      <c r="A476" s="14"/>
      <c r="B476" s="15"/>
      <c r="C476" s="16"/>
      <c r="D476" s="16"/>
      <c r="E476" s="16"/>
      <c r="F476" s="9"/>
      <c r="G476" s="16"/>
      <c r="H476" s="9"/>
      <c r="I476" s="16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>
      <c r="A477" s="14"/>
      <c r="B477" s="15"/>
      <c r="C477" s="16"/>
      <c r="D477" s="16"/>
      <c r="E477" s="16"/>
      <c r="F477" s="9"/>
      <c r="G477" s="16"/>
      <c r="H477" s="9"/>
      <c r="I477" s="16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>
      <c r="A478" s="14"/>
      <c r="B478" s="15"/>
      <c r="C478" s="16"/>
      <c r="D478" s="16"/>
      <c r="E478" s="16"/>
      <c r="F478" s="9"/>
      <c r="G478" s="16"/>
      <c r="H478" s="9"/>
      <c r="I478" s="16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>
      <c r="A479" s="14"/>
      <c r="B479" s="15"/>
      <c r="C479" s="16"/>
      <c r="D479" s="16"/>
      <c r="E479" s="16"/>
      <c r="F479" s="9"/>
      <c r="G479" s="16"/>
      <c r="H479" s="9"/>
      <c r="I479" s="16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>
      <c r="A480" s="14"/>
      <c r="B480" s="15"/>
      <c r="C480" s="16"/>
      <c r="D480" s="16"/>
      <c r="E480" s="16"/>
      <c r="F480" s="9"/>
      <c r="G480" s="16"/>
      <c r="H480" s="9"/>
      <c r="I480" s="16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>
      <c r="A481" s="14"/>
      <c r="B481" s="15"/>
      <c r="C481" s="16"/>
      <c r="D481" s="16"/>
      <c r="E481" s="16"/>
      <c r="F481" s="9"/>
      <c r="G481" s="16"/>
      <c r="H481" s="9"/>
      <c r="I481" s="16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>
      <c r="A482" s="14"/>
      <c r="B482" s="15"/>
      <c r="C482" s="16"/>
      <c r="D482" s="16"/>
      <c r="E482" s="16"/>
      <c r="F482" s="9"/>
      <c r="G482" s="16"/>
      <c r="H482" s="9"/>
      <c r="I482" s="16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>
      <c r="A483" s="14"/>
      <c r="B483" s="15"/>
      <c r="C483" s="16"/>
      <c r="D483" s="16"/>
      <c r="E483" s="16"/>
      <c r="F483" s="9"/>
      <c r="G483" s="16"/>
      <c r="H483" s="9"/>
      <c r="I483" s="16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>
      <c r="A484" s="14"/>
      <c r="B484" s="15"/>
      <c r="C484" s="16"/>
      <c r="D484" s="16"/>
      <c r="E484" s="16"/>
      <c r="F484" s="9"/>
      <c r="G484" s="16"/>
      <c r="H484" s="9"/>
      <c r="I484" s="16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>
      <c r="A485" s="14"/>
      <c r="B485" s="15"/>
      <c r="C485" s="16"/>
      <c r="D485" s="16"/>
      <c r="E485" s="16"/>
      <c r="F485" s="9"/>
      <c r="G485" s="16"/>
      <c r="H485" s="9"/>
      <c r="I485" s="16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>
      <c r="A486" s="14"/>
      <c r="B486" s="15"/>
      <c r="C486" s="16"/>
      <c r="D486" s="16"/>
      <c r="E486" s="16"/>
      <c r="F486" s="9"/>
      <c r="G486" s="16"/>
      <c r="H486" s="9"/>
      <c r="I486" s="16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>
      <c r="A487" s="14"/>
      <c r="B487" s="15"/>
      <c r="C487" s="16"/>
      <c r="D487" s="16"/>
      <c r="E487" s="16"/>
      <c r="F487" s="9"/>
      <c r="G487" s="16"/>
      <c r="H487" s="9"/>
      <c r="I487" s="16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>
      <c r="A488" s="14"/>
      <c r="B488" s="15"/>
      <c r="C488" s="16"/>
      <c r="D488" s="16"/>
      <c r="E488" s="16"/>
      <c r="F488" s="9"/>
      <c r="G488" s="16"/>
      <c r="H488" s="9"/>
      <c r="I488" s="16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>
      <c r="A489" s="14"/>
      <c r="B489" s="15"/>
      <c r="C489" s="16"/>
      <c r="D489" s="16"/>
      <c r="E489" s="16"/>
      <c r="F489" s="9"/>
      <c r="G489" s="16"/>
      <c r="H489" s="9"/>
      <c r="I489" s="16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>
      <c r="A490" s="14"/>
      <c r="B490" s="15"/>
      <c r="C490" s="16"/>
      <c r="D490" s="16"/>
      <c r="E490" s="16"/>
      <c r="F490" s="9"/>
      <c r="G490" s="16"/>
      <c r="H490" s="9"/>
      <c r="I490" s="16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>
      <c r="A491" s="14"/>
      <c r="B491" s="15"/>
      <c r="C491" s="16"/>
      <c r="D491" s="16"/>
      <c r="E491" s="16"/>
      <c r="F491" s="9"/>
      <c r="G491" s="16"/>
      <c r="H491" s="9"/>
      <c r="I491" s="16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>
      <c r="A492" s="14"/>
      <c r="B492" s="15"/>
      <c r="C492" s="16"/>
      <c r="D492" s="16"/>
      <c r="E492" s="16"/>
      <c r="F492" s="9"/>
      <c r="G492" s="16"/>
      <c r="H492" s="9"/>
      <c r="I492" s="16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>
      <c r="A493" s="14"/>
      <c r="B493" s="15"/>
      <c r="C493" s="16"/>
      <c r="D493" s="16"/>
      <c r="E493" s="16"/>
      <c r="F493" s="9"/>
      <c r="G493" s="16"/>
      <c r="H493" s="9"/>
      <c r="I493" s="16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>
      <c r="A494" s="14"/>
      <c r="B494" s="15"/>
      <c r="C494" s="16"/>
      <c r="D494" s="16"/>
      <c r="E494" s="16"/>
      <c r="F494" s="9"/>
      <c r="G494" s="16"/>
      <c r="H494" s="9"/>
      <c r="I494" s="16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>
      <c r="A495" s="14"/>
      <c r="B495" s="15"/>
      <c r="C495" s="16"/>
      <c r="D495" s="16"/>
      <c r="E495" s="16"/>
      <c r="F495" s="9"/>
      <c r="G495" s="16"/>
      <c r="H495" s="9"/>
      <c r="I495" s="16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>
      <c r="A496" s="14"/>
      <c r="B496" s="15"/>
      <c r="C496" s="16"/>
      <c r="D496" s="16"/>
      <c r="E496" s="16"/>
      <c r="F496" s="9"/>
      <c r="G496" s="16"/>
      <c r="H496" s="9"/>
      <c r="I496" s="16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>
      <c r="A497" s="14"/>
      <c r="B497" s="15"/>
      <c r="C497" s="16"/>
      <c r="D497" s="16"/>
      <c r="E497" s="16"/>
      <c r="F497" s="9"/>
      <c r="G497" s="16"/>
      <c r="H497" s="9"/>
      <c r="I497" s="16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>
      <c r="A498" s="14"/>
      <c r="B498" s="15"/>
      <c r="C498" s="16"/>
      <c r="D498" s="16"/>
      <c r="E498" s="16"/>
      <c r="F498" s="9"/>
      <c r="G498" s="16"/>
      <c r="H498" s="9"/>
      <c r="I498" s="16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>
      <c r="A499" s="14"/>
      <c r="B499" s="15"/>
      <c r="C499" s="16"/>
      <c r="D499" s="16"/>
      <c r="E499" s="16"/>
      <c r="F499" s="9"/>
      <c r="G499" s="16"/>
      <c r="H499" s="9"/>
      <c r="I499" s="16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>
      <c r="A500" s="14"/>
      <c r="B500" s="15"/>
      <c r="C500" s="16"/>
      <c r="D500" s="16"/>
      <c r="E500" s="16"/>
      <c r="F500" s="9"/>
      <c r="G500" s="16"/>
      <c r="H500" s="9"/>
      <c r="I500" s="16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>
      <c r="A501" s="14"/>
      <c r="B501" s="15"/>
      <c r="C501" s="16"/>
      <c r="D501" s="16"/>
      <c r="E501" s="16"/>
      <c r="F501" s="9"/>
      <c r="G501" s="16"/>
      <c r="H501" s="9"/>
      <c r="I501" s="16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>
      <c r="A502" s="14"/>
      <c r="B502" s="15"/>
      <c r="C502" s="16"/>
      <c r="D502" s="16"/>
      <c r="E502" s="16"/>
      <c r="F502" s="9"/>
      <c r="G502" s="16"/>
      <c r="H502" s="9"/>
      <c r="I502" s="16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>
      <c r="A503" s="14"/>
      <c r="B503" s="15"/>
      <c r="C503" s="16"/>
      <c r="D503" s="16"/>
      <c r="E503" s="16"/>
      <c r="F503" s="9"/>
      <c r="G503" s="16"/>
      <c r="H503" s="9"/>
      <c r="I503" s="16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>
      <c r="A504" s="14"/>
      <c r="B504" s="15"/>
      <c r="C504" s="16"/>
      <c r="D504" s="16"/>
      <c r="E504" s="16"/>
      <c r="F504" s="9"/>
      <c r="G504" s="16"/>
      <c r="H504" s="9"/>
      <c r="I504" s="16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>
      <c r="A505" s="14"/>
      <c r="B505" s="15"/>
      <c r="C505" s="16"/>
      <c r="D505" s="16"/>
      <c r="E505" s="16"/>
      <c r="F505" s="9"/>
      <c r="G505" s="16"/>
      <c r="H505" s="9"/>
      <c r="I505" s="16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>
      <c r="A506" s="14"/>
      <c r="B506" s="15"/>
      <c r="C506" s="16"/>
      <c r="D506" s="16"/>
      <c r="E506" s="16"/>
      <c r="F506" s="9"/>
      <c r="G506" s="16"/>
      <c r="H506" s="9"/>
      <c r="I506" s="16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>
      <c r="A507" s="14"/>
      <c r="B507" s="15"/>
      <c r="C507" s="16"/>
      <c r="D507" s="16"/>
      <c r="E507" s="16"/>
      <c r="F507" s="9"/>
      <c r="G507" s="16"/>
      <c r="H507" s="9"/>
      <c r="I507" s="16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>
      <c r="A508" s="14"/>
      <c r="B508" s="15"/>
      <c r="C508" s="16"/>
      <c r="D508" s="16"/>
      <c r="E508" s="16"/>
      <c r="F508" s="9"/>
      <c r="G508" s="16"/>
      <c r="H508" s="9"/>
      <c r="I508" s="16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>
      <c r="A509" s="14"/>
      <c r="B509" s="15"/>
      <c r="C509" s="16"/>
      <c r="D509" s="16"/>
      <c r="E509" s="16"/>
      <c r="F509" s="9"/>
      <c r="G509" s="16"/>
      <c r="H509" s="9"/>
      <c r="I509" s="16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>
      <c r="A510" s="14"/>
      <c r="B510" s="15"/>
      <c r="C510" s="16"/>
      <c r="D510" s="16"/>
      <c r="E510" s="16"/>
      <c r="F510" s="9"/>
      <c r="G510" s="16"/>
      <c r="H510" s="9"/>
      <c r="I510" s="16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>
      <c r="A511" s="14"/>
      <c r="B511" s="15"/>
      <c r="C511" s="16"/>
      <c r="D511" s="16"/>
      <c r="E511" s="16"/>
      <c r="F511" s="9"/>
      <c r="G511" s="16"/>
      <c r="H511" s="9"/>
      <c r="I511" s="16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>
      <c r="A512" s="14"/>
      <c r="B512" s="15"/>
      <c r="C512" s="16"/>
      <c r="D512" s="16"/>
      <c r="E512" s="16"/>
      <c r="F512" s="9"/>
      <c r="G512" s="16"/>
      <c r="H512" s="9"/>
      <c r="I512" s="16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>
      <c r="A513" s="14"/>
      <c r="B513" s="15"/>
      <c r="C513" s="16"/>
      <c r="D513" s="16"/>
      <c r="E513" s="16"/>
      <c r="F513" s="9"/>
      <c r="G513" s="16"/>
      <c r="H513" s="9"/>
      <c r="I513" s="16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>
      <c r="A514" s="14"/>
      <c r="B514" s="15"/>
      <c r="C514" s="16"/>
      <c r="D514" s="16"/>
      <c r="E514" s="16"/>
      <c r="F514" s="9"/>
      <c r="G514" s="16"/>
      <c r="H514" s="9"/>
      <c r="I514" s="16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>
      <c r="A515" s="14"/>
      <c r="B515" s="15"/>
      <c r="C515" s="16"/>
      <c r="D515" s="16"/>
      <c r="E515" s="16"/>
      <c r="F515" s="9"/>
      <c r="G515" s="16"/>
      <c r="H515" s="9"/>
      <c r="I515" s="16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>
      <c r="A516" s="14"/>
      <c r="B516" s="15"/>
      <c r="C516" s="16"/>
      <c r="D516" s="16"/>
      <c r="E516" s="16"/>
      <c r="F516" s="9"/>
      <c r="G516" s="16"/>
      <c r="H516" s="9"/>
      <c r="I516" s="16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>
      <c r="A517" s="14"/>
      <c r="B517" s="15"/>
      <c r="C517" s="16"/>
      <c r="D517" s="16"/>
      <c r="E517" s="16"/>
      <c r="F517" s="9"/>
      <c r="G517" s="16"/>
      <c r="H517" s="9"/>
      <c r="I517" s="16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>
      <c r="A518" s="14"/>
      <c r="B518" s="15"/>
      <c r="C518" s="16"/>
      <c r="D518" s="16"/>
      <c r="E518" s="16"/>
      <c r="F518" s="9"/>
      <c r="G518" s="16"/>
      <c r="H518" s="9"/>
      <c r="I518" s="16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>
      <c r="A519" s="14"/>
      <c r="B519" s="15"/>
      <c r="C519" s="16"/>
      <c r="D519" s="16"/>
      <c r="E519" s="16"/>
      <c r="F519" s="9"/>
      <c r="G519" s="16"/>
      <c r="H519" s="9"/>
      <c r="I519" s="16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>
      <c r="A520" s="14"/>
      <c r="B520" s="15"/>
      <c r="C520" s="16"/>
      <c r="D520" s="16"/>
      <c r="E520" s="16"/>
      <c r="F520" s="9"/>
      <c r="G520" s="16"/>
      <c r="H520" s="9"/>
      <c r="I520" s="16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>
      <c r="A521" s="14"/>
      <c r="B521" s="15"/>
      <c r="C521" s="16"/>
      <c r="D521" s="16"/>
      <c r="E521" s="16"/>
      <c r="F521" s="9"/>
      <c r="G521" s="16"/>
      <c r="H521" s="9"/>
      <c r="I521" s="16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>
      <c r="A522" s="14"/>
      <c r="B522" s="15"/>
      <c r="C522" s="16"/>
      <c r="D522" s="16"/>
      <c r="E522" s="16"/>
      <c r="F522" s="9"/>
      <c r="G522" s="16"/>
      <c r="H522" s="9"/>
      <c r="I522" s="16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>
      <c r="A523" s="14"/>
      <c r="B523" s="15"/>
      <c r="C523" s="16"/>
      <c r="D523" s="16"/>
      <c r="E523" s="16"/>
      <c r="F523" s="9"/>
      <c r="G523" s="16"/>
      <c r="H523" s="9"/>
      <c r="I523" s="16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>
      <c r="A524" s="14"/>
      <c r="B524" s="15"/>
      <c r="C524" s="16"/>
      <c r="D524" s="16"/>
      <c r="E524" s="16"/>
      <c r="F524" s="9"/>
      <c r="G524" s="16"/>
      <c r="H524" s="9"/>
      <c r="I524" s="16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>
      <c r="A525" s="14"/>
      <c r="B525" s="15"/>
      <c r="C525" s="16"/>
      <c r="D525" s="16"/>
      <c r="E525" s="16"/>
      <c r="F525" s="9"/>
      <c r="G525" s="16"/>
      <c r="H525" s="9"/>
      <c r="I525" s="16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>
      <c r="A526" s="14"/>
      <c r="B526" s="15"/>
      <c r="C526" s="16"/>
      <c r="D526" s="16"/>
      <c r="E526" s="16"/>
      <c r="F526" s="9"/>
      <c r="G526" s="16"/>
      <c r="H526" s="9"/>
      <c r="I526" s="16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>
      <c r="A527" s="14"/>
      <c r="B527" s="15"/>
      <c r="C527" s="16"/>
      <c r="D527" s="16"/>
      <c r="E527" s="16"/>
      <c r="F527" s="9"/>
      <c r="G527" s="16"/>
      <c r="H527" s="9"/>
      <c r="I527" s="16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>
      <c r="A528" s="14"/>
      <c r="B528" s="15"/>
      <c r="C528" s="16"/>
      <c r="D528" s="16"/>
      <c r="E528" s="16"/>
      <c r="F528" s="9"/>
      <c r="G528" s="16"/>
      <c r="H528" s="9"/>
      <c r="I528" s="16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>
      <c r="A529" s="14"/>
      <c r="B529" s="15"/>
      <c r="C529" s="16"/>
      <c r="D529" s="16"/>
      <c r="E529" s="16"/>
      <c r="F529" s="9"/>
      <c r="G529" s="16"/>
      <c r="H529" s="9"/>
      <c r="I529" s="16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>
      <c r="A530" s="14"/>
      <c r="B530" s="15"/>
      <c r="C530" s="16"/>
      <c r="D530" s="16"/>
      <c r="E530" s="16"/>
      <c r="F530" s="9"/>
      <c r="G530" s="16"/>
      <c r="H530" s="9"/>
      <c r="I530" s="16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>
      <c r="A531" s="14"/>
      <c r="B531" s="15"/>
      <c r="C531" s="16"/>
      <c r="D531" s="16"/>
      <c r="E531" s="16"/>
      <c r="F531" s="9"/>
      <c r="G531" s="16"/>
      <c r="H531" s="9"/>
      <c r="I531" s="16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>
      <c r="A532" s="14"/>
      <c r="B532" s="15"/>
      <c r="C532" s="16"/>
      <c r="D532" s="16"/>
      <c r="E532" s="16"/>
      <c r="F532" s="9"/>
      <c r="G532" s="16"/>
      <c r="H532" s="9"/>
      <c r="I532" s="16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>
      <c r="A533" s="14"/>
      <c r="B533" s="15"/>
      <c r="C533" s="16"/>
      <c r="D533" s="16"/>
      <c r="E533" s="16"/>
      <c r="F533" s="9"/>
      <c r="G533" s="16"/>
      <c r="H533" s="9"/>
      <c r="I533" s="16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>
      <c r="A534" s="14"/>
      <c r="B534" s="15"/>
      <c r="C534" s="16"/>
      <c r="D534" s="16"/>
      <c r="E534" s="16"/>
      <c r="F534" s="9"/>
      <c r="G534" s="16"/>
      <c r="H534" s="9"/>
      <c r="I534" s="16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>
      <c r="A535" s="14"/>
      <c r="B535" s="15"/>
      <c r="C535" s="16"/>
      <c r="D535" s="16"/>
      <c r="E535" s="16"/>
      <c r="F535" s="9"/>
      <c r="G535" s="16"/>
      <c r="H535" s="9"/>
      <c r="I535" s="16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>
      <c r="A536" s="14"/>
      <c r="B536" s="15"/>
      <c r="C536" s="16"/>
      <c r="D536" s="16"/>
      <c r="E536" s="16"/>
      <c r="F536" s="9"/>
      <c r="G536" s="16"/>
      <c r="H536" s="9"/>
      <c r="I536" s="16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>
      <c r="A537" s="14"/>
      <c r="B537" s="15"/>
      <c r="C537" s="16"/>
      <c r="D537" s="16"/>
      <c r="E537" s="16"/>
      <c r="F537" s="9"/>
      <c r="G537" s="16"/>
      <c r="H537" s="9"/>
      <c r="I537" s="16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>
      <c r="A538" s="14"/>
      <c r="B538" s="15"/>
      <c r="C538" s="16"/>
      <c r="D538" s="16"/>
      <c r="E538" s="16"/>
      <c r="F538" s="9"/>
      <c r="G538" s="16"/>
      <c r="H538" s="9"/>
      <c r="I538" s="16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>
      <c r="A539" s="14"/>
      <c r="B539" s="15"/>
      <c r="C539" s="16"/>
      <c r="D539" s="16"/>
      <c r="E539" s="16"/>
      <c r="F539" s="9"/>
      <c r="G539" s="16"/>
      <c r="H539" s="9"/>
      <c r="I539" s="16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>
      <c r="A540" s="14"/>
      <c r="B540" s="15"/>
      <c r="C540" s="16"/>
      <c r="D540" s="16"/>
      <c r="E540" s="16"/>
      <c r="F540" s="9"/>
      <c r="G540" s="16"/>
      <c r="H540" s="9"/>
      <c r="I540" s="16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>
      <c r="A541" s="14"/>
      <c r="B541" s="15"/>
      <c r="C541" s="16"/>
      <c r="D541" s="16"/>
      <c r="E541" s="16"/>
      <c r="F541" s="9"/>
      <c r="G541" s="16"/>
      <c r="H541" s="9"/>
      <c r="I541" s="16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>
      <c r="A542" s="14"/>
      <c r="B542" s="15"/>
      <c r="C542" s="16"/>
      <c r="D542" s="16"/>
      <c r="E542" s="16"/>
      <c r="F542" s="9"/>
      <c r="G542" s="16"/>
      <c r="H542" s="9"/>
      <c r="I542" s="16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>
      <c r="A543" s="14"/>
      <c r="B543" s="15"/>
      <c r="C543" s="16"/>
      <c r="D543" s="16"/>
      <c r="E543" s="16"/>
      <c r="F543" s="9"/>
      <c r="G543" s="16"/>
      <c r="H543" s="9"/>
      <c r="I543" s="16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>
      <c r="A544" s="14"/>
      <c r="B544" s="15"/>
      <c r="C544" s="16"/>
      <c r="D544" s="16"/>
      <c r="E544" s="16"/>
      <c r="F544" s="9"/>
      <c r="G544" s="16"/>
      <c r="H544" s="9"/>
      <c r="I544" s="16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>
      <c r="A545" s="14"/>
      <c r="B545" s="15"/>
      <c r="C545" s="16"/>
      <c r="D545" s="16"/>
      <c r="E545" s="16"/>
      <c r="F545" s="9"/>
      <c r="G545" s="16"/>
      <c r="H545" s="9"/>
      <c r="I545" s="16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>
      <c r="A546" s="14"/>
      <c r="B546" s="15"/>
      <c r="C546" s="16"/>
      <c r="D546" s="16"/>
      <c r="E546" s="16"/>
      <c r="F546" s="9"/>
      <c r="G546" s="16"/>
      <c r="H546" s="9"/>
      <c r="I546" s="16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>
      <c r="A547" s="14"/>
      <c r="B547" s="15"/>
      <c r="C547" s="16"/>
      <c r="D547" s="16"/>
      <c r="E547" s="16"/>
      <c r="F547" s="9"/>
      <c r="G547" s="16"/>
      <c r="H547" s="9"/>
      <c r="I547" s="16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>
      <c r="A548" s="14"/>
      <c r="B548" s="15"/>
      <c r="C548" s="16"/>
      <c r="D548" s="16"/>
      <c r="E548" s="16"/>
      <c r="F548" s="9"/>
      <c r="G548" s="16"/>
      <c r="H548" s="9"/>
      <c r="I548" s="16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>
      <c r="A549" s="14"/>
      <c r="B549" s="15"/>
      <c r="C549" s="16"/>
      <c r="D549" s="16"/>
      <c r="E549" s="16"/>
      <c r="F549" s="9"/>
      <c r="G549" s="16"/>
      <c r="H549" s="9"/>
      <c r="I549" s="16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>
      <c r="A550" s="14"/>
      <c r="B550" s="15"/>
      <c r="C550" s="16"/>
      <c r="D550" s="16"/>
      <c r="E550" s="16"/>
      <c r="F550" s="9"/>
      <c r="G550" s="16"/>
      <c r="H550" s="9"/>
      <c r="I550" s="16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>
      <c r="A551" s="14"/>
      <c r="B551" s="15"/>
      <c r="C551" s="16"/>
      <c r="D551" s="16"/>
      <c r="E551" s="16"/>
      <c r="F551" s="9"/>
      <c r="G551" s="16"/>
      <c r="H551" s="9"/>
      <c r="I551" s="16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>
      <c r="A552" s="14"/>
      <c r="B552" s="15"/>
      <c r="C552" s="16"/>
      <c r="D552" s="16"/>
      <c r="E552" s="16"/>
      <c r="F552" s="9"/>
      <c r="G552" s="16"/>
      <c r="H552" s="9"/>
      <c r="I552" s="16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>
      <c r="A553" s="14"/>
      <c r="B553" s="15"/>
      <c r="C553" s="16"/>
      <c r="D553" s="16"/>
      <c r="E553" s="16"/>
      <c r="F553" s="9"/>
      <c r="G553" s="16"/>
      <c r="H553" s="9"/>
      <c r="I553" s="16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>
      <c r="A554" s="14"/>
      <c r="B554" s="15"/>
      <c r="C554" s="16"/>
      <c r="D554" s="16"/>
      <c r="E554" s="16"/>
      <c r="F554" s="9"/>
      <c r="G554" s="16"/>
      <c r="H554" s="9"/>
      <c r="I554" s="16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>
      <c r="A555" s="14"/>
      <c r="B555" s="15"/>
      <c r="C555" s="16"/>
      <c r="D555" s="16"/>
      <c r="E555" s="16"/>
      <c r="F555" s="9"/>
      <c r="G555" s="16"/>
      <c r="H555" s="9"/>
      <c r="I555" s="16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>
      <c r="A556" s="14"/>
      <c r="B556" s="15"/>
      <c r="C556" s="16"/>
      <c r="D556" s="16"/>
      <c r="E556" s="16"/>
      <c r="F556" s="9"/>
      <c r="G556" s="16"/>
      <c r="H556" s="9"/>
      <c r="I556" s="16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>
      <c r="A557" s="14"/>
      <c r="B557" s="15"/>
      <c r="C557" s="16"/>
      <c r="D557" s="16"/>
      <c r="E557" s="16"/>
      <c r="F557" s="9"/>
      <c r="G557" s="16"/>
      <c r="H557" s="9"/>
      <c r="I557" s="16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>
      <c r="A558" s="14"/>
      <c r="B558" s="15"/>
      <c r="C558" s="16"/>
      <c r="D558" s="16"/>
      <c r="E558" s="16"/>
      <c r="F558" s="9"/>
      <c r="G558" s="16"/>
      <c r="H558" s="9"/>
      <c r="I558" s="16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>
      <c r="A559" s="14"/>
      <c r="B559" s="15"/>
      <c r="C559" s="16"/>
      <c r="D559" s="16"/>
      <c r="E559" s="16"/>
      <c r="F559" s="9"/>
      <c r="G559" s="16"/>
      <c r="H559" s="9"/>
      <c r="I559" s="16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>
      <c r="A560" s="14"/>
      <c r="B560" s="15"/>
      <c r="C560" s="16"/>
      <c r="D560" s="16"/>
      <c r="E560" s="16"/>
      <c r="F560" s="9"/>
      <c r="G560" s="16"/>
      <c r="H560" s="9"/>
      <c r="I560" s="16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>
      <c r="A561" s="14"/>
      <c r="B561" s="15"/>
      <c r="C561" s="16"/>
      <c r="D561" s="16"/>
      <c r="E561" s="16"/>
      <c r="F561" s="9"/>
      <c r="G561" s="16"/>
      <c r="H561" s="9"/>
      <c r="I561" s="16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>
      <c r="A562" s="14"/>
      <c r="B562" s="15"/>
      <c r="C562" s="16"/>
      <c r="D562" s="16"/>
      <c r="E562" s="16"/>
      <c r="F562" s="9"/>
      <c r="G562" s="16"/>
      <c r="H562" s="9"/>
      <c r="I562" s="16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>
      <c r="A563" s="14"/>
      <c r="B563" s="15"/>
      <c r="C563" s="16"/>
      <c r="D563" s="16"/>
      <c r="E563" s="16"/>
      <c r="F563" s="9"/>
      <c r="G563" s="16"/>
      <c r="H563" s="9"/>
      <c r="I563" s="16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>
      <c r="A564" s="14"/>
      <c r="B564" s="15"/>
      <c r="C564" s="16"/>
      <c r="D564" s="16"/>
      <c r="E564" s="16"/>
      <c r="F564" s="9"/>
      <c r="G564" s="16"/>
      <c r="H564" s="9"/>
      <c r="I564" s="16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>
      <c r="A565" s="14"/>
      <c r="B565" s="15"/>
      <c r="C565" s="16"/>
      <c r="D565" s="16"/>
      <c r="E565" s="16"/>
      <c r="F565" s="9"/>
      <c r="G565" s="16"/>
      <c r="H565" s="9"/>
      <c r="I565" s="16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>
      <c r="A566" s="14"/>
      <c r="B566" s="15"/>
      <c r="C566" s="16"/>
      <c r="D566" s="16"/>
      <c r="E566" s="16"/>
      <c r="F566" s="9"/>
      <c r="G566" s="16"/>
      <c r="H566" s="9"/>
      <c r="I566" s="16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>
      <c r="A567" s="14"/>
      <c r="B567" s="15"/>
      <c r="C567" s="16"/>
      <c r="D567" s="16"/>
      <c r="E567" s="16"/>
      <c r="F567" s="9"/>
      <c r="G567" s="16"/>
      <c r="H567" s="9"/>
      <c r="I567" s="16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>
      <c r="A568" s="14"/>
      <c r="B568" s="15"/>
      <c r="C568" s="16"/>
      <c r="D568" s="16"/>
      <c r="E568" s="16"/>
      <c r="F568" s="9"/>
      <c r="G568" s="16"/>
      <c r="H568" s="9"/>
      <c r="I568" s="16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>
      <c r="A569" s="14"/>
      <c r="B569" s="15"/>
      <c r="C569" s="16"/>
      <c r="D569" s="16"/>
      <c r="E569" s="16"/>
      <c r="F569" s="9"/>
      <c r="G569" s="16"/>
      <c r="H569" s="9"/>
      <c r="I569" s="16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>
      <c r="A570" s="14"/>
      <c r="B570" s="15"/>
      <c r="C570" s="16"/>
      <c r="D570" s="16"/>
      <c r="E570" s="16"/>
      <c r="F570" s="9"/>
      <c r="G570" s="16"/>
      <c r="H570" s="9"/>
      <c r="I570" s="16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>
      <c r="A571" s="14"/>
      <c r="B571" s="15"/>
      <c r="C571" s="16"/>
      <c r="D571" s="16"/>
      <c r="E571" s="16"/>
      <c r="F571" s="9"/>
      <c r="G571" s="16"/>
      <c r="H571" s="9"/>
      <c r="I571" s="16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>
      <c r="A572" s="14"/>
      <c r="B572" s="15"/>
      <c r="C572" s="16"/>
      <c r="D572" s="16"/>
      <c r="E572" s="16"/>
      <c r="F572" s="9"/>
      <c r="G572" s="16"/>
      <c r="H572" s="9"/>
      <c r="I572" s="16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>
      <c r="A573" s="14"/>
      <c r="B573" s="15"/>
      <c r="C573" s="16"/>
      <c r="D573" s="16"/>
      <c r="E573" s="16"/>
      <c r="F573" s="9"/>
      <c r="G573" s="16"/>
      <c r="H573" s="9"/>
      <c r="I573" s="16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>
      <c r="A574" s="14"/>
      <c r="B574" s="15"/>
      <c r="C574" s="16"/>
      <c r="D574" s="16"/>
      <c r="E574" s="16"/>
      <c r="F574" s="9"/>
      <c r="G574" s="16"/>
      <c r="H574" s="9"/>
      <c r="I574" s="16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>
      <c r="A575" s="14"/>
      <c r="B575" s="15"/>
      <c r="C575" s="16"/>
      <c r="D575" s="16"/>
      <c r="E575" s="16"/>
      <c r="F575" s="9"/>
      <c r="G575" s="16"/>
      <c r="H575" s="9"/>
      <c r="I575" s="16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>
      <c r="A576" s="14"/>
      <c r="B576" s="15"/>
      <c r="C576" s="16"/>
      <c r="D576" s="16"/>
      <c r="E576" s="16"/>
      <c r="F576" s="9"/>
      <c r="G576" s="16"/>
      <c r="H576" s="9"/>
      <c r="I576" s="16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>
      <c r="A577" s="14"/>
      <c r="B577" s="15"/>
      <c r="C577" s="16"/>
      <c r="D577" s="16"/>
      <c r="E577" s="16"/>
      <c r="F577" s="9"/>
      <c r="G577" s="16"/>
      <c r="H577" s="9"/>
      <c r="I577" s="16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>
      <c r="A578" s="14"/>
      <c r="B578" s="15"/>
      <c r="C578" s="16"/>
      <c r="D578" s="16"/>
      <c r="E578" s="16"/>
      <c r="F578" s="9"/>
      <c r="G578" s="16"/>
      <c r="H578" s="9"/>
      <c r="I578" s="16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>
      <c r="A579" s="14"/>
      <c r="B579" s="15"/>
      <c r="C579" s="16"/>
      <c r="D579" s="16"/>
      <c r="E579" s="16"/>
      <c r="F579" s="9"/>
      <c r="G579" s="16"/>
      <c r="H579" s="9"/>
      <c r="I579" s="16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>
      <c r="A580" s="14"/>
      <c r="B580" s="15"/>
      <c r="C580" s="16"/>
      <c r="D580" s="16"/>
      <c r="E580" s="16"/>
      <c r="F580" s="9"/>
      <c r="G580" s="16"/>
      <c r="H580" s="9"/>
      <c r="I580" s="16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>
      <c r="A581" s="14"/>
      <c r="B581" s="15"/>
      <c r="C581" s="16"/>
      <c r="D581" s="16"/>
      <c r="E581" s="16"/>
      <c r="F581" s="9"/>
      <c r="G581" s="16"/>
      <c r="H581" s="9"/>
      <c r="I581" s="16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>
      <c r="A582" s="14"/>
      <c r="B582" s="15"/>
      <c r="C582" s="16"/>
      <c r="D582" s="16"/>
      <c r="E582" s="16"/>
      <c r="F582" s="9"/>
      <c r="G582" s="16"/>
      <c r="H582" s="9"/>
      <c r="I582" s="16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>
      <c r="A583" s="14"/>
      <c r="B583" s="15"/>
      <c r="C583" s="16"/>
      <c r="D583" s="16"/>
      <c r="E583" s="16"/>
      <c r="F583" s="9"/>
      <c r="G583" s="16"/>
      <c r="H583" s="9"/>
      <c r="I583" s="16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>
      <c r="A584" s="14"/>
      <c r="B584" s="15"/>
      <c r="C584" s="16"/>
      <c r="D584" s="16"/>
      <c r="E584" s="16"/>
      <c r="F584" s="9"/>
      <c r="G584" s="16"/>
      <c r="H584" s="9"/>
      <c r="I584" s="16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>
      <c r="A585" s="14"/>
      <c r="B585" s="15"/>
      <c r="C585" s="16"/>
      <c r="D585" s="16"/>
      <c r="E585" s="16"/>
      <c r="F585" s="9"/>
      <c r="G585" s="16"/>
      <c r="H585" s="9"/>
      <c r="I585" s="16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>
      <c r="A586" s="14"/>
      <c r="B586" s="15"/>
      <c r="C586" s="16"/>
      <c r="D586" s="16"/>
      <c r="E586" s="16"/>
      <c r="F586" s="9"/>
      <c r="G586" s="16"/>
      <c r="H586" s="9"/>
      <c r="I586" s="16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>
      <c r="A587" s="14"/>
      <c r="B587" s="15"/>
      <c r="C587" s="16"/>
      <c r="D587" s="16"/>
      <c r="E587" s="16"/>
      <c r="F587" s="9"/>
      <c r="G587" s="16"/>
      <c r="H587" s="9"/>
      <c r="I587" s="16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>
      <c r="A588" s="14"/>
      <c r="B588" s="15"/>
      <c r="C588" s="16"/>
      <c r="D588" s="16"/>
      <c r="E588" s="16"/>
      <c r="F588" s="9"/>
      <c r="G588" s="16"/>
      <c r="H588" s="9"/>
      <c r="I588" s="16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>
      <c r="A589" s="14"/>
      <c r="B589" s="15"/>
      <c r="C589" s="16"/>
      <c r="D589" s="16"/>
      <c r="E589" s="16"/>
      <c r="F589" s="9"/>
      <c r="G589" s="16"/>
      <c r="H589" s="9"/>
      <c r="I589" s="16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>
      <c r="A590" s="14"/>
      <c r="B590" s="15"/>
      <c r="C590" s="16"/>
      <c r="D590" s="16"/>
      <c r="E590" s="16"/>
      <c r="F590" s="9"/>
      <c r="G590" s="16"/>
      <c r="H590" s="9"/>
      <c r="I590" s="16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>
      <c r="A591" s="14"/>
      <c r="B591" s="15"/>
      <c r="C591" s="16"/>
      <c r="D591" s="16"/>
      <c r="E591" s="16"/>
      <c r="F591" s="9"/>
      <c r="G591" s="16"/>
      <c r="H591" s="9"/>
      <c r="I591" s="16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>
      <c r="A592" s="14"/>
      <c r="B592" s="15"/>
      <c r="C592" s="16"/>
      <c r="D592" s="16"/>
      <c r="E592" s="16"/>
      <c r="F592" s="9"/>
      <c r="G592" s="16"/>
      <c r="H592" s="9"/>
      <c r="I592" s="16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>
      <c r="A593" s="14"/>
      <c r="B593" s="15"/>
      <c r="C593" s="16"/>
      <c r="D593" s="16"/>
      <c r="E593" s="16"/>
      <c r="F593" s="9"/>
      <c r="G593" s="16"/>
      <c r="H593" s="9"/>
      <c r="I593" s="16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>
      <c r="A594" s="14"/>
      <c r="B594" s="15"/>
      <c r="C594" s="16"/>
      <c r="D594" s="16"/>
      <c r="E594" s="16"/>
      <c r="F594" s="9"/>
      <c r="G594" s="16"/>
      <c r="H594" s="9"/>
      <c r="I594" s="16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>
      <c r="A595" s="14"/>
      <c r="B595" s="15"/>
      <c r="C595" s="16"/>
      <c r="D595" s="16"/>
      <c r="E595" s="16"/>
      <c r="F595" s="9"/>
      <c r="G595" s="16"/>
      <c r="H595" s="9"/>
      <c r="I595" s="16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>
      <c r="A596" s="14"/>
      <c r="B596" s="15"/>
      <c r="C596" s="16"/>
      <c r="D596" s="16"/>
      <c r="E596" s="16"/>
      <c r="F596" s="9"/>
      <c r="G596" s="16"/>
      <c r="H596" s="9"/>
      <c r="I596" s="16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>
      <c r="A597" s="14"/>
      <c r="B597" s="15"/>
      <c r="C597" s="16"/>
      <c r="D597" s="16"/>
      <c r="E597" s="16"/>
      <c r="F597" s="9"/>
      <c r="G597" s="16"/>
      <c r="H597" s="9"/>
      <c r="I597" s="16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>
      <c r="A598" s="14"/>
      <c r="B598" s="15"/>
      <c r="C598" s="16"/>
      <c r="D598" s="16"/>
      <c r="E598" s="16"/>
      <c r="F598" s="9"/>
      <c r="G598" s="16"/>
      <c r="H598" s="9"/>
      <c r="I598" s="16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>
      <c r="A599" s="14"/>
      <c r="B599" s="15"/>
      <c r="C599" s="16"/>
      <c r="D599" s="16"/>
      <c r="E599" s="16"/>
      <c r="F599" s="9"/>
      <c r="G599" s="16"/>
      <c r="H599" s="9"/>
      <c r="I599" s="16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>
      <c r="A600" s="14"/>
      <c r="B600" s="15"/>
      <c r="C600" s="16"/>
      <c r="D600" s="16"/>
      <c r="E600" s="16"/>
      <c r="F600" s="9"/>
      <c r="G600" s="16"/>
      <c r="H600" s="9"/>
      <c r="I600" s="16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>
      <c r="A601" s="14"/>
      <c r="B601" s="15"/>
      <c r="C601" s="16"/>
      <c r="D601" s="16"/>
      <c r="E601" s="16"/>
      <c r="F601" s="9"/>
      <c r="G601" s="16"/>
      <c r="H601" s="9"/>
      <c r="I601" s="16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>
      <c r="A602" s="14"/>
      <c r="B602" s="15"/>
      <c r="C602" s="16"/>
      <c r="D602" s="16"/>
      <c r="E602" s="16"/>
      <c r="F602" s="9"/>
      <c r="G602" s="16"/>
      <c r="H602" s="9"/>
      <c r="I602" s="16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>
      <c r="A603" s="14"/>
      <c r="B603" s="15"/>
      <c r="C603" s="16"/>
      <c r="D603" s="16"/>
      <c r="E603" s="16"/>
      <c r="F603" s="9"/>
      <c r="G603" s="16"/>
      <c r="H603" s="9"/>
      <c r="I603" s="16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>
      <c r="A604" s="14"/>
      <c r="B604" s="15"/>
      <c r="C604" s="16"/>
      <c r="D604" s="16"/>
      <c r="E604" s="16"/>
      <c r="F604" s="9"/>
      <c r="G604" s="16"/>
      <c r="H604" s="9"/>
      <c r="I604" s="16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>
      <c r="A605" s="14"/>
      <c r="B605" s="15"/>
      <c r="C605" s="16"/>
      <c r="D605" s="16"/>
      <c r="E605" s="16"/>
      <c r="F605" s="9"/>
      <c r="G605" s="16"/>
      <c r="H605" s="9"/>
      <c r="I605" s="16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>
      <c r="A606" s="14"/>
      <c r="B606" s="15"/>
      <c r="C606" s="16"/>
      <c r="D606" s="16"/>
      <c r="E606" s="16"/>
      <c r="F606" s="9"/>
      <c r="G606" s="16"/>
      <c r="H606" s="9"/>
      <c r="I606" s="16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>
      <c r="A607" s="14"/>
      <c r="B607" s="15"/>
      <c r="C607" s="16"/>
      <c r="D607" s="16"/>
      <c r="E607" s="16"/>
      <c r="F607" s="9"/>
      <c r="G607" s="16"/>
      <c r="H607" s="9"/>
      <c r="I607" s="16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>
      <c r="A608" s="14"/>
      <c r="B608" s="15"/>
      <c r="C608" s="16"/>
      <c r="D608" s="16"/>
      <c r="E608" s="16"/>
      <c r="F608" s="9"/>
      <c r="G608" s="16"/>
      <c r="H608" s="9"/>
      <c r="I608" s="16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>
      <c r="A609" s="14"/>
      <c r="B609" s="15"/>
      <c r="C609" s="16"/>
      <c r="D609" s="16"/>
      <c r="E609" s="16"/>
      <c r="F609" s="9"/>
      <c r="G609" s="16"/>
      <c r="H609" s="9"/>
      <c r="I609" s="16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>
      <c r="A610" s="14"/>
      <c r="B610" s="15"/>
      <c r="C610" s="16"/>
      <c r="D610" s="16"/>
      <c r="E610" s="16"/>
      <c r="F610" s="9"/>
      <c r="G610" s="16"/>
      <c r="H610" s="9"/>
      <c r="I610" s="16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>
      <c r="A611" s="14"/>
      <c r="B611" s="15"/>
      <c r="C611" s="16"/>
      <c r="D611" s="16"/>
      <c r="E611" s="16"/>
      <c r="F611" s="9"/>
      <c r="G611" s="16"/>
      <c r="H611" s="9"/>
      <c r="I611" s="16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>
      <c r="A612" s="14"/>
      <c r="B612" s="15"/>
      <c r="C612" s="16"/>
      <c r="D612" s="16"/>
      <c r="E612" s="16"/>
      <c r="F612" s="9"/>
      <c r="G612" s="16"/>
      <c r="H612" s="9"/>
      <c r="I612" s="16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>
      <c r="A613" s="14"/>
      <c r="B613" s="15"/>
      <c r="C613" s="16"/>
      <c r="D613" s="16"/>
      <c r="E613" s="16"/>
      <c r="F613" s="9"/>
      <c r="G613" s="16"/>
      <c r="H613" s="9"/>
      <c r="I613" s="16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>
      <c r="A614" s="14"/>
      <c r="B614" s="15"/>
      <c r="C614" s="16"/>
      <c r="D614" s="16"/>
      <c r="E614" s="16"/>
      <c r="F614" s="9"/>
      <c r="G614" s="16"/>
      <c r="H614" s="9"/>
      <c r="I614" s="16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>
      <c r="A615" s="14"/>
      <c r="B615" s="15"/>
      <c r="C615" s="16"/>
      <c r="D615" s="16"/>
      <c r="E615" s="16"/>
      <c r="F615" s="9"/>
      <c r="G615" s="16"/>
      <c r="H615" s="9"/>
      <c r="I615" s="16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>
      <c r="A616" s="14"/>
      <c r="B616" s="15"/>
      <c r="C616" s="16"/>
      <c r="D616" s="16"/>
      <c r="E616" s="16"/>
      <c r="F616" s="9"/>
      <c r="G616" s="16"/>
      <c r="H616" s="9"/>
      <c r="I616" s="16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>
      <c r="A617" s="14"/>
      <c r="B617" s="15"/>
      <c r="C617" s="16"/>
      <c r="D617" s="16"/>
      <c r="E617" s="16"/>
      <c r="F617" s="9"/>
      <c r="G617" s="16"/>
      <c r="H617" s="9"/>
      <c r="I617" s="16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>
      <c r="A618" s="14"/>
      <c r="B618" s="15"/>
      <c r="C618" s="16"/>
      <c r="D618" s="16"/>
      <c r="E618" s="16"/>
      <c r="F618" s="9"/>
      <c r="G618" s="16"/>
      <c r="H618" s="9"/>
      <c r="I618" s="16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>
      <c r="A619" s="14"/>
      <c r="B619" s="15"/>
      <c r="C619" s="16"/>
      <c r="D619" s="16"/>
      <c r="E619" s="16"/>
      <c r="F619" s="9"/>
      <c r="G619" s="16"/>
      <c r="H619" s="9"/>
      <c r="I619" s="16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>
      <c r="A620" s="14"/>
      <c r="B620" s="15"/>
      <c r="C620" s="16"/>
      <c r="D620" s="16"/>
      <c r="E620" s="16"/>
      <c r="F620" s="9"/>
      <c r="G620" s="16"/>
      <c r="H620" s="9"/>
      <c r="I620" s="16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>
      <c r="A621" s="14"/>
      <c r="B621" s="15"/>
      <c r="C621" s="16"/>
      <c r="D621" s="16"/>
      <c r="E621" s="16"/>
      <c r="F621" s="9"/>
      <c r="G621" s="16"/>
      <c r="H621" s="9"/>
      <c r="I621" s="16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>
      <c r="A622" s="14"/>
      <c r="B622" s="15"/>
      <c r="C622" s="16"/>
      <c r="D622" s="16"/>
      <c r="E622" s="16"/>
      <c r="F622" s="9"/>
      <c r="G622" s="16"/>
      <c r="H622" s="9"/>
      <c r="I622" s="16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>
      <c r="A623" s="14"/>
      <c r="B623" s="15"/>
      <c r="C623" s="16"/>
      <c r="D623" s="16"/>
      <c r="E623" s="16"/>
      <c r="F623" s="9"/>
      <c r="G623" s="16"/>
      <c r="H623" s="9"/>
      <c r="I623" s="16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>
      <c r="A624" s="14"/>
      <c r="B624" s="15"/>
      <c r="C624" s="16"/>
      <c r="D624" s="16"/>
      <c r="E624" s="16"/>
      <c r="F624" s="9"/>
      <c r="G624" s="16"/>
      <c r="H624" s="9"/>
      <c r="I624" s="16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>
      <c r="A625" s="14"/>
      <c r="B625" s="15"/>
      <c r="C625" s="16"/>
      <c r="D625" s="16"/>
      <c r="E625" s="16"/>
      <c r="F625" s="9"/>
      <c r="G625" s="16"/>
      <c r="H625" s="9"/>
      <c r="I625" s="16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>
      <c r="A626" s="14"/>
      <c r="B626" s="15"/>
      <c r="C626" s="16"/>
      <c r="D626" s="16"/>
      <c r="E626" s="16"/>
      <c r="F626" s="9"/>
      <c r="G626" s="16"/>
      <c r="H626" s="9"/>
      <c r="I626" s="16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>
      <c r="A627" s="14"/>
      <c r="B627" s="15"/>
      <c r="C627" s="16"/>
      <c r="D627" s="16"/>
      <c r="E627" s="16"/>
      <c r="F627" s="9"/>
      <c r="G627" s="16"/>
      <c r="H627" s="9"/>
      <c r="I627" s="16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>
      <c r="A628" s="14"/>
      <c r="B628" s="15"/>
      <c r="C628" s="16"/>
      <c r="D628" s="16"/>
      <c r="E628" s="16"/>
      <c r="F628" s="9"/>
      <c r="G628" s="16"/>
      <c r="H628" s="9"/>
      <c r="I628" s="16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>
      <c r="A629" s="14"/>
      <c r="B629" s="15"/>
      <c r="C629" s="16"/>
      <c r="D629" s="16"/>
      <c r="E629" s="16"/>
      <c r="F629" s="9"/>
      <c r="G629" s="16"/>
      <c r="H629" s="9"/>
      <c r="I629" s="16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>
      <c r="A630" s="14"/>
      <c r="B630" s="15"/>
      <c r="C630" s="16"/>
      <c r="D630" s="16"/>
      <c r="E630" s="16"/>
      <c r="F630" s="9"/>
      <c r="G630" s="16"/>
      <c r="H630" s="9"/>
      <c r="I630" s="16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>
      <c r="A631" s="14"/>
      <c r="B631" s="15"/>
      <c r="C631" s="16"/>
      <c r="D631" s="16"/>
      <c r="E631" s="16"/>
      <c r="F631" s="9"/>
      <c r="G631" s="16"/>
      <c r="H631" s="9"/>
      <c r="I631" s="16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>
      <c r="A632" s="14"/>
      <c r="B632" s="15"/>
      <c r="C632" s="16"/>
      <c r="D632" s="16"/>
      <c r="E632" s="16"/>
      <c r="F632" s="9"/>
      <c r="G632" s="16"/>
      <c r="H632" s="9"/>
      <c r="I632" s="16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>
      <c r="A633" s="14"/>
      <c r="B633" s="15"/>
      <c r="C633" s="16"/>
      <c r="D633" s="16"/>
      <c r="E633" s="16"/>
      <c r="F633" s="9"/>
      <c r="G633" s="16"/>
      <c r="H633" s="9"/>
      <c r="I633" s="16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>
      <c r="A634" s="14"/>
      <c r="B634" s="15"/>
      <c r="C634" s="16"/>
      <c r="D634" s="16"/>
      <c r="E634" s="16"/>
      <c r="F634" s="9"/>
      <c r="G634" s="16"/>
      <c r="H634" s="9"/>
      <c r="I634" s="16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>
      <c r="A635" s="14"/>
      <c r="B635" s="15"/>
      <c r="C635" s="16"/>
      <c r="D635" s="16"/>
      <c r="E635" s="16"/>
      <c r="F635" s="9"/>
      <c r="G635" s="16"/>
      <c r="H635" s="9"/>
      <c r="I635" s="16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>
      <c r="A636" s="14"/>
      <c r="B636" s="15"/>
      <c r="C636" s="16"/>
      <c r="D636" s="16"/>
      <c r="E636" s="16"/>
      <c r="F636" s="9"/>
      <c r="G636" s="16"/>
      <c r="H636" s="9"/>
      <c r="I636" s="16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>
      <c r="A637" s="14"/>
      <c r="B637" s="15"/>
      <c r="C637" s="16"/>
      <c r="D637" s="16"/>
      <c r="E637" s="16"/>
      <c r="F637" s="9"/>
      <c r="G637" s="16"/>
      <c r="H637" s="9"/>
      <c r="I637" s="16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>
      <c r="A638" s="14"/>
      <c r="B638" s="15"/>
      <c r="C638" s="16"/>
      <c r="D638" s="16"/>
      <c r="E638" s="16"/>
      <c r="F638" s="9"/>
      <c r="G638" s="16"/>
      <c r="H638" s="9"/>
      <c r="I638" s="16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>
      <c r="A639" s="14"/>
      <c r="B639" s="15"/>
      <c r="C639" s="16"/>
      <c r="D639" s="16"/>
      <c r="E639" s="16"/>
      <c r="F639" s="9"/>
      <c r="G639" s="16"/>
      <c r="H639" s="9"/>
      <c r="I639" s="16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>
      <c r="A640" s="14"/>
      <c r="B640" s="15"/>
      <c r="C640" s="16"/>
      <c r="D640" s="16"/>
      <c r="E640" s="16"/>
      <c r="F640" s="9"/>
      <c r="G640" s="16"/>
      <c r="H640" s="9"/>
      <c r="I640" s="16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>
      <c r="A641" s="14"/>
      <c r="B641" s="15"/>
      <c r="C641" s="16"/>
      <c r="D641" s="16"/>
      <c r="E641" s="16"/>
      <c r="F641" s="9"/>
      <c r="G641" s="16"/>
      <c r="H641" s="9"/>
      <c r="I641" s="16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>
      <c r="A642" s="14"/>
      <c r="B642" s="15"/>
      <c r="C642" s="16"/>
      <c r="D642" s="16"/>
      <c r="E642" s="16"/>
      <c r="F642" s="9"/>
      <c r="G642" s="16"/>
      <c r="H642" s="9"/>
      <c r="I642" s="16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>
      <c r="A643" s="14"/>
      <c r="B643" s="15"/>
      <c r="C643" s="16"/>
      <c r="D643" s="16"/>
      <c r="E643" s="16"/>
      <c r="F643" s="9"/>
      <c r="G643" s="16"/>
      <c r="H643" s="9"/>
      <c r="I643" s="16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>
      <c r="A644" s="14"/>
      <c r="B644" s="15"/>
      <c r="C644" s="16"/>
      <c r="D644" s="16"/>
      <c r="E644" s="16"/>
      <c r="F644" s="9"/>
      <c r="G644" s="16"/>
      <c r="H644" s="9"/>
      <c r="I644" s="16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>
      <c r="A645" s="14"/>
      <c r="B645" s="15"/>
      <c r="C645" s="16"/>
      <c r="D645" s="16"/>
      <c r="E645" s="16"/>
      <c r="F645" s="9"/>
      <c r="G645" s="16"/>
      <c r="H645" s="9"/>
      <c r="I645" s="16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>
      <c r="A646" s="14"/>
      <c r="B646" s="15"/>
      <c r="C646" s="16"/>
      <c r="D646" s="16"/>
      <c r="E646" s="16"/>
      <c r="F646" s="9"/>
      <c r="G646" s="16"/>
      <c r="H646" s="9"/>
      <c r="I646" s="16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>
      <c r="A647" s="14"/>
      <c r="B647" s="15"/>
      <c r="C647" s="16"/>
      <c r="D647" s="16"/>
      <c r="E647" s="16"/>
      <c r="F647" s="9"/>
      <c r="G647" s="16"/>
      <c r="H647" s="9"/>
      <c r="I647" s="16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>
      <c r="A648" s="14"/>
      <c r="B648" s="15"/>
      <c r="C648" s="16"/>
      <c r="D648" s="16"/>
      <c r="E648" s="16"/>
      <c r="F648" s="9"/>
      <c r="G648" s="16"/>
      <c r="H648" s="9"/>
      <c r="I648" s="16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>
      <c r="A649" s="14"/>
      <c r="B649" s="15"/>
      <c r="C649" s="16"/>
      <c r="D649" s="16"/>
      <c r="E649" s="16"/>
      <c r="F649" s="9"/>
      <c r="G649" s="16"/>
      <c r="H649" s="9"/>
      <c r="I649" s="16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>
      <c r="A650" s="14"/>
      <c r="B650" s="15"/>
      <c r="C650" s="16"/>
      <c r="D650" s="16"/>
      <c r="E650" s="16"/>
      <c r="F650" s="9"/>
      <c r="G650" s="16"/>
      <c r="H650" s="9"/>
      <c r="I650" s="16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>
      <c r="A651" s="14"/>
      <c r="B651" s="15"/>
      <c r="C651" s="16"/>
      <c r="D651" s="16"/>
      <c r="E651" s="16"/>
      <c r="F651" s="9"/>
      <c r="G651" s="16"/>
      <c r="H651" s="9"/>
      <c r="I651" s="16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>
      <c r="A652" s="14"/>
      <c r="B652" s="15"/>
      <c r="C652" s="16"/>
      <c r="D652" s="16"/>
      <c r="E652" s="16"/>
      <c r="F652" s="9"/>
      <c r="G652" s="16"/>
      <c r="H652" s="9"/>
      <c r="I652" s="16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>
      <c r="A653" s="14"/>
      <c r="B653" s="15"/>
      <c r="C653" s="16"/>
      <c r="D653" s="16"/>
      <c r="E653" s="16"/>
      <c r="F653" s="9"/>
      <c r="G653" s="16"/>
      <c r="H653" s="9"/>
      <c r="I653" s="16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>
      <c r="A654" s="14"/>
      <c r="B654" s="15"/>
      <c r="C654" s="16"/>
      <c r="D654" s="16"/>
      <c r="E654" s="16"/>
      <c r="F654" s="9"/>
      <c r="G654" s="16"/>
      <c r="H654" s="9"/>
      <c r="I654" s="16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>
      <c r="A655" s="14"/>
      <c r="B655" s="15"/>
      <c r="C655" s="16"/>
      <c r="D655" s="16"/>
      <c r="E655" s="16"/>
      <c r="F655" s="9"/>
      <c r="G655" s="16"/>
      <c r="H655" s="9"/>
      <c r="I655" s="16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>
      <c r="A656" s="14"/>
      <c r="B656" s="15"/>
      <c r="C656" s="16"/>
      <c r="D656" s="16"/>
      <c r="E656" s="16"/>
      <c r="F656" s="9"/>
      <c r="G656" s="16"/>
      <c r="H656" s="9"/>
      <c r="I656" s="16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>
      <c r="A657" s="14"/>
      <c r="B657" s="15"/>
      <c r="C657" s="16"/>
      <c r="D657" s="16"/>
      <c r="E657" s="16"/>
      <c r="F657" s="9"/>
      <c r="G657" s="16"/>
      <c r="H657" s="9"/>
      <c r="I657" s="16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>
      <c r="A658" s="14"/>
      <c r="B658" s="15"/>
      <c r="C658" s="16"/>
      <c r="D658" s="16"/>
      <c r="E658" s="16"/>
      <c r="F658" s="9"/>
      <c r="G658" s="16"/>
      <c r="H658" s="9"/>
      <c r="I658" s="16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>
      <c r="A659" s="14"/>
      <c r="B659" s="15"/>
      <c r="C659" s="16"/>
      <c r="D659" s="16"/>
      <c r="E659" s="16"/>
      <c r="F659" s="9"/>
      <c r="G659" s="16"/>
      <c r="H659" s="9"/>
      <c r="I659" s="16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>
      <c r="A660" s="14"/>
      <c r="B660" s="15"/>
      <c r="C660" s="16"/>
      <c r="D660" s="16"/>
      <c r="E660" s="16"/>
      <c r="F660" s="9"/>
      <c r="G660" s="16"/>
      <c r="H660" s="9"/>
      <c r="I660" s="16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>
      <c r="A661" s="14"/>
      <c r="B661" s="15"/>
      <c r="C661" s="16"/>
      <c r="D661" s="16"/>
      <c r="E661" s="16"/>
      <c r="F661" s="9"/>
      <c r="G661" s="16"/>
      <c r="H661" s="9"/>
      <c r="I661" s="16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>
      <c r="A662" s="14"/>
      <c r="B662" s="15"/>
      <c r="C662" s="16"/>
      <c r="D662" s="16"/>
      <c r="E662" s="16"/>
      <c r="F662" s="9"/>
      <c r="G662" s="16"/>
      <c r="H662" s="9"/>
      <c r="I662" s="16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>
      <c r="A663" s="14"/>
      <c r="B663" s="15"/>
      <c r="C663" s="16"/>
      <c r="D663" s="16"/>
      <c r="E663" s="16"/>
      <c r="F663" s="9"/>
      <c r="G663" s="16"/>
      <c r="H663" s="9"/>
      <c r="I663" s="16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>
      <c r="A664" s="14"/>
      <c r="B664" s="15"/>
      <c r="C664" s="16"/>
      <c r="D664" s="16"/>
      <c r="E664" s="16"/>
      <c r="F664" s="9"/>
      <c r="G664" s="16"/>
      <c r="H664" s="9"/>
      <c r="I664" s="16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>
      <c r="A665" s="14"/>
      <c r="B665" s="15"/>
      <c r="C665" s="16"/>
      <c r="D665" s="16"/>
      <c r="E665" s="16"/>
      <c r="F665" s="9"/>
      <c r="G665" s="16"/>
      <c r="H665" s="9"/>
      <c r="I665" s="16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>
      <c r="A666" s="14"/>
      <c r="B666" s="15"/>
      <c r="C666" s="16"/>
      <c r="D666" s="16"/>
      <c r="E666" s="16"/>
      <c r="F666" s="9"/>
      <c r="G666" s="16"/>
      <c r="H666" s="9"/>
      <c r="I666" s="16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>
      <c r="A667" s="14"/>
      <c r="B667" s="15"/>
      <c r="C667" s="16"/>
      <c r="D667" s="16"/>
      <c r="E667" s="16"/>
      <c r="F667" s="9"/>
      <c r="G667" s="16"/>
      <c r="H667" s="9"/>
      <c r="I667" s="16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>
      <c r="A668" s="14"/>
      <c r="B668" s="15"/>
      <c r="C668" s="16"/>
      <c r="D668" s="16"/>
      <c r="E668" s="16"/>
      <c r="F668" s="9"/>
      <c r="G668" s="16"/>
      <c r="H668" s="9"/>
      <c r="I668" s="16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>
      <c r="A669" s="14"/>
      <c r="B669" s="15"/>
      <c r="C669" s="16"/>
      <c r="D669" s="16"/>
      <c r="E669" s="16"/>
      <c r="F669" s="9"/>
      <c r="G669" s="16"/>
      <c r="H669" s="9"/>
      <c r="I669" s="16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>
      <c r="A670" s="14"/>
      <c r="B670" s="15"/>
      <c r="C670" s="16"/>
      <c r="D670" s="16"/>
      <c r="E670" s="16"/>
      <c r="F670" s="9"/>
      <c r="G670" s="16"/>
      <c r="H670" s="9"/>
      <c r="I670" s="16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>
      <c r="A671" s="14"/>
      <c r="B671" s="15"/>
      <c r="C671" s="16"/>
      <c r="D671" s="16"/>
      <c r="E671" s="16"/>
      <c r="F671" s="9"/>
      <c r="G671" s="16"/>
      <c r="H671" s="9"/>
      <c r="I671" s="16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>
      <c r="A672" s="14"/>
      <c r="B672" s="15"/>
      <c r="C672" s="16"/>
      <c r="D672" s="16"/>
      <c r="E672" s="16"/>
      <c r="F672" s="9"/>
      <c r="G672" s="16"/>
      <c r="H672" s="9"/>
      <c r="I672" s="16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>
      <c r="A673" s="14"/>
      <c r="B673" s="15"/>
      <c r="C673" s="16"/>
      <c r="D673" s="16"/>
      <c r="E673" s="16"/>
      <c r="F673" s="9"/>
      <c r="G673" s="16"/>
      <c r="H673" s="9"/>
      <c r="I673" s="16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>
      <c r="A674" s="14"/>
      <c r="B674" s="15"/>
      <c r="C674" s="16"/>
      <c r="D674" s="16"/>
      <c r="E674" s="16"/>
      <c r="F674" s="9"/>
      <c r="G674" s="16"/>
      <c r="H674" s="9"/>
      <c r="I674" s="16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>
      <c r="A675" s="14"/>
      <c r="B675" s="15"/>
      <c r="C675" s="16"/>
      <c r="D675" s="16"/>
      <c r="E675" s="16"/>
      <c r="F675" s="9"/>
      <c r="G675" s="16"/>
      <c r="H675" s="9"/>
      <c r="I675" s="16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>
      <c r="A676" s="14"/>
      <c r="B676" s="15"/>
      <c r="C676" s="16"/>
      <c r="D676" s="16"/>
      <c r="E676" s="16"/>
      <c r="F676" s="9"/>
      <c r="G676" s="16"/>
      <c r="H676" s="9"/>
      <c r="I676" s="16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>
      <c r="A677" s="14"/>
      <c r="B677" s="15"/>
      <c r="C677" s="16"/>
      <c r="D677" s="16"/>
      <c r="E677" s="16"/>
      <c r="F677" s="9"/>
      <c r="G677" s="16"/>
      <c r="H677" s="9"/>
      <c r="I677" s="16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>
      <c r="A678" s="14"/>
      <c r="B678" s="15"/>
      <c r="C678" s="16"/>
      <c r="D678" s="16"/>
      <c r="E678" s="16"/>
      <c r="F678" s="9"/>
      <c r="G678" s="16"/>
      <c r="H678" s="9"/>
      <c r="I678" s="16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>
      <c r="A679" s="14"/>
      <c r="B679" s="15"/>
      <c r="C679" s="16"/>
      <c r="D679" s="16"/>
      <c r="E679" s="16"/>
      <c r="F679" s="9"/>
      <c r="G679" s="16"/>
      <c r="H679" s="9"/>
      <c r="I679" s="16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>
      <c r="A680" s="14"/>
      <c r="B680" s="15"/>
      <c r="C680" s="16"/>
      <c r="D680" s="16"/>
      <c r="E680" s="16"/>
      <c r="F680" s="9"/>
      <c r="G680" s="16"/>
      <c r="H680" s="9"/>
      <c r="I680" s="16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>
      <c r="A681" s="14"/>
      <c r="B681" s="15"/>
      <c r="C681" s="16"/>
      <c r="D681" s="16"/>
      <c r="E681" s="16"/>
      <c r="F681" s="9"/>
      <c r="G681" s="16"/>
      <c r="H681" s="9"/>
      <c r="I681" s="16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>
      <c r="A682" s="14"/>
      <c r="B682" s="15"/>
      <c r="C682" s="16"/>
      <c r="D682" s="16"/>
      <c r="E682" s="16"/>
      <c r="F682" s="9"/>
      <c r="G682" s="16"/>
      <c r="H682" s="9"/>
      <c r="I682" s="16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>
      <c r="A683" s="14"/>
      <c r="B683" s="15"/>
      <c r="C683" s="16"/>
      <c r="D683" s="16"/>
      <c r="E683" s="16"/>
      <c r="F683" s="9"/>
      <c r="G683" s="16"/>
      <c r="H683" s="9"/>
      <c r="I683" s="16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>
      <c r="A684" s="14"/>
      <c r="B684" s="15"/>
      <c r="C684" s="16"/>
      <c r="D684" s="16"/>
      <c r="E684" s="16"/>
      <c r="F684" s="9"/>
      <c r="G684" s="16"/>
      <c r="H684" s="9"/>
      <c r="I684" s="16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>
      <c r="A685" s="14"/>
      <c r="B685" s="15"/>
      <c r="C685" s="16"/>
      <c r="D685" s="16"/>
      <c r="E685" s="16"/>
      <c r="F685" s="9"/>
      <c r="G685" s="16"/>
      <c r="H685" s="9"/>
      <c r="I685" s="16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>
      <c r="A686" s="14"/>
      <c r="B686" s="15"/>
      <c r="C686" s="16"/>
      <c r="D686" s="16"/>
      <c r="E686" s="16"/>
      <c r="F686" s="9"/>
      <c r="G686" s="16"/>
      <c r="H686" s="9"/>
      <c r="I686" s="16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>
      <c r="A687" s="14"/>
      <c r="B687" s="15"/>
      <c r="C687" s="16"/>
      <c r="D687" s="16"/>
      <c r="E687" s="16"/>
      <c r="F687" s="9"/>
      <c r="G687" s="16"/>
      <c r="H687" s="9"/>
      <c r="I687" s="16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>
      <c r="A688" s="14"/>
      <c r="B688" s="15"/>
      <c r="C688" s="16"/>
      <c r="D688" s="16"/>
      <c r="E688" s="16"/>
      <c r="F688" s="9"/>
      <c r="G688" s="16"/>
      <c r="H688" s="9"/>
      <c r="I688" s="16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>
      <c r="A689" s="14"/>
      <c r="B689" s="15"/>
      <c r="C689" s="16"/>
      <c r="D689" s="16"/>
      <c r="E689" s="16"/>
      <c r="F689" s="9"/>
      <c r="G689" s="16"/>
      <c r="H689" s="9"/>
      <c r="I689" s="16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>
      <c r="A690" s="14"/>
      <c r="B690" s="15"/>
      <c r="C690" s="16"/>
      <c r="D690" s="16"/>
      <c r="E690" s="16"/>
      <c r="F690" s="9"/>
      <c r="G690" s="16"/>
      <c r="H690" s="9"/>
      <c r="I690" s="16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>
      <c r="A691" s="14"/>
      <c r="B691" s="15"/>
      <c r="C691" s="16"/>
      <c r="D691" s="16"/>
      <c r="E691" s="16"/>
      <c r="F691" s="9"/>
      <c r="G691" s="16"/>
      <c r="H691" s="9"/>
      <c r="I691" s="16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>
      <c r="A692" s="14"/>
      <c r="B692" s="15"/>
      <c r="C692" s="16"/>
      <c r="D692" s="16"/>
      <c r="E692" s="16"/>
      <c r="F692" s="9"/>
      <c r="G692" s="16"/>
      <c r="H692" s="9"/>
      <c r="I692" s="16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>
      <c r="A693" s="14"/>
      <c r="B693" s="15"/>
      <c r="C693" s="16"/>
      <c r="D693" s="16"/>
      <c r="E693" s="16"/>
      <c r="F693" s="9"/>
      <c r="G693" s="16"/>
      <c r="H693" s="9"/>
      <c r="I693" s="16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>
      <c r="A694" s="14"/>
      <c r="B694" s="15"/>
      <c r="C694" s="16"/>
      <c r="D694" s="16"/>
      <c r="E694" s="16"/>
      <c r="F694" s="9"/>
      <c r="G694" s="16"/>
      <c r="H694" s="9"/>
      <c r="I694" s="16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>
      <c r="A695" s="14"/>
      <c r="B695" s="15"/>
      <c r="C695" s="16"/>
      <c r="D695" s="16"/>
      <c r="E695" s="16"/>
      <c r="F695" s="9"/>
      <c r="G695" s="16"/>
      <c r="H695" s="9"/>
      <c r="I695" s="16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>
      <c r="A696" s="14"/>
      <c r="B696" s="15"/>
      <c r="C696" s="16"/>
      <c r="D696" s="16"/>
      <c r="E696" s="16"/>
      <c r="F696" s="9"/>
      <c r="G696" s="16"/>
      <c r="H696" s="9"/>
      <c r="I696" s="16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>
      <c r="A697" s="14"/>
      <c r="B697" s="15"/>
      <c r="C697" s="16"/>
      <c r="D697" s="16"/>
      <c r="E697" s="16"/>
      <c r="F697" s="9"/>
      <c r="G697" s="16"/>
      <c r="H697" s="9"/>
      <c r="I697" s="16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>
      <c r="A698" s="14"/>
      <c r="B698" s="15"/>
      <c r="C698" s="16"/>
      <c r="D698" s="16"/>
      <c r="E698" s="16"/>
      <c r="F698" s="9"/>
      <c r="G698" s="16"/>
      <c r="H698" s="9"/>
      <c r="I698" s="16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>
      <c r="A699" s="14"/>
      <c r="B699" s="15"/>
      <c r="C699" s="16"/>
      <c r="D699" s="16"/>
      <c r="E699" s="16"/>
      <c r="F699" s="9"/>
      <c r="G699" s="16"/>
      <c r="H699" s="9"/>
      <c r="I699" s="16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>
      <c r="A700" s="14"/>
      <c r="B700" s="15"/>
      <c r="C700" s="16"/>
      <c r="D700" s="16"/>
      <c r="E700" s="16"/>
      <c r="F700" s="9"/>
      <c r="G700" s="16"/>
      <c r="H700" s="9"/>
      <c r="I700" s="16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>
      <c r="A701" s="14"/>
      <c r="B701" s="15"/>
      <c r="C701" s="16"/>
      <c r="D701" s="16"/>
      <c r="E701" s="16"/>
      <c r="F701" s="9"/>
      <c r="G701" s="16"/>
      <c r="H701" s="9"/>
      <c r="I701" s="16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>
      <c r="A702" s="14"/>
      <c r="B702" s="15"/>
      <c r="C702" s="16"/>
      <c r="D702" s="16"/>
      <c r="E702" s="16"/>
      <c r="F702" s="9"/>
      <c r="G702" s="16"/>
      <c r="H702" s="9"/>
      <c r="I702" s="16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>
      <c r="A703" s="14"/>
      <c r="B703" s="15"/>
      <c r="C703" s="16"/>
      <c r="D703" s="16"/>
      <c r="E703" s="16"/>
      <c r="F703" s="9"/>
      <c r="G703" s="16"/>
      <c r="H703" s="9"/>
      <c r="I703" s="16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>
      <c r="A704" s="14"/>
      <c r="B704" s="15"/>
      <c r="C704" s="16"/>
      <c r="D704" s="16"/>
      <c r="E704" s="16"/>
      <c r="F704" s="9"/>
      <c r="G704" s="16"/>
      <c r="H704" s="9"/>
      <c r="I704" s="16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>
      <c r="A705" s="14"/>
      <c r="B705" s="15"/>
      <c r="C705" s="16"/>
      <c r="D705" s="16"/>
      <c r="E705" s="16"/>
      <c r="F705" s="9"/>
      <c r="G705" s="16"/>
      <c r="H705" s="9"/>
      <c r="I705" s="16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>
      <c r="A706" s="14"/>
      <c r="B706" s="15"/>
      <c r="C706" s="16"/>
      <c r="D706" s="16"/>
      <c r="E706" s="16"/>
      <c r="F706" s="9"/>
      <c r="G706" s="16"/>
      <c r="H706" s="9"/>
      <c r="I706" s="16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>
      <c r="A707" s="14"/>
      <c r="B707" s="15"/>
      <c r="C707" s="16"/>
      <c r="D707" s="16"/>
      <c r="E707" s="16"/>
      <c r="F707" s="9"/>
      <c r="G707" s="16"/>
      <c r="H707" s="9"/>
      <c r="I707" s="16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>
      <c r="A708" s="14"/>
      <c r="B708" s="15"/>
      <c r="C708" s="16"/>
      <c r="D708" s="16"/>
      <c r="E708" s="16"/>
      <c r="F708" s="9"/>
      <c r="G708" s="16"/>
      <c r="H708" s="9"/>
      <c r="I708" s="16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>
      <c r="A709" s="14"/>
      <c r="B709" s="15"/>
      <c r="C709" s="16"/>
      <c r="D709" s="16"/>
      <c r="E709" s="16"/>
      <c r="F709" s="9"/>
      <c r="G709" s="16"/>
      <c r="H709" s="9"/>
      <c r="I709" s="16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>
      <c r="A710" s="14"/>
      <c r="B710" s="15"/>
      <c r="C710" s="16"/>
      <c r="D710" s="16"/>
      <c r="E710" s="16"/>
      <c r="F710" s="9"/>
      <c r="G710" s="16"/>
      <c r="H710" s="9"/>
      <c r="I710" s="16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>
      <c r="A711" s="14"/>
      <c r="B711" s="15"/>
      <c r="C711" s="16"/>
      <c r="D711" s="16"/>
      <c r="E711" s="16"/>
      <c r="F711" s="9"/>
      <c r="G711" s="16"/>
      <c r="H711" s="9"/>
      <c r="I711" s="16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>
      <c r="A712" s="14"/>
      <c r="B712" s="15"/>
      <c r="C712" s="16"/>
      <c r="D712" s="16"/>
      <c r="E712" s="16"/>
      <c r="F712" s="9"/>
      <c r="G712" s="16"/>
      <c r="H712" s="9"/>
      <c r="I712" s="16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>
      <c r="A713" s="14"/>
      <c r="B713" s="15"/>
      <c r="C713" s="16"/>
      <c r="D713" s="16"/>
      <c r="E713" s="16"/>
      <c r="F713" s="9"/>
      <c r="G713" s="16"/>
      <c r="H713" s="9"/>
      <c r="I713" s="16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>
      <c r="A714" s="14"/>
      <c r="B714" s="15"/>
      <c r="C714" s="16"/>
      <c r="D714" s="16"/>
      <c r="E714" s="16"/>
      <c r="F714" s="9"/>
      <c r="G714" s="16"/>
      <c r="H714" s="9"/>
      <c r="I714" s="16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>
      <c r="A715" s="14"/>
      <c r="B715" s="15"/>
      <c r="C715" s="16"/>
      <c r="D715" s="16"/>
      <c r="E715" s="16"/>
      <c r="F715" s="9"/>
      <c r="G715" s="16"/>
      <c r="H715" s="9"/>
      <c r="I715" s="16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>
      <c r="A716" s="14"/>
      <c r="B716" s="15"/>
      <c r="C716" s="16"/>
      <c r="D716" s="16"/>
      <c r="E716" s="16"/>
      <c r="F716" s="9"/>
      <c r="G716" s="16"/>
      <c r="H716" s="9"/>
      <c r="I716" s="16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>
      <c r="A717" s="14"/>
      <c r="B717" s="15"/>
      <c r="C717" s="16"/>
      <c r="D717" s="16"/>
      <c r="E717" s="16"/>
      <c r="F717" s="9"/>
      <c r="G717" s="16"/>
      <c r="H717" s="9"/>
      <c r="I717" s="16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>
      <c r="A718" s="14"/>
      <c r="B718" s="15"/>
      <c r="C718" s="16"/>
      <c r="D718" s="16"/>
      <c r="E718" s="16"/>
      <c r="F718" s="9"/>
      <c r="G718" s="16"/>
      <c r="H718" s="9"/>
      <c r="I718" s="16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>
      <c r="A719" s="14"/>
      <c r="B719" s="15"/>
      <c r="C719" s="16"/>
      <c r="D719" s="16"/>
      <c r="E719" s="16"/>
      <c r="F719" s="9"/>
      <c r="G719" s="16"/>
      <c r="H719" s="9"/>
      <c r="I719" s="16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>
      <c r="A720" s="14"/>
      <c r="B720" s="15"/>
      <c r="C720" s="16"/>
      <c r="D720" s="16"/>
      <c r="E720" s="16"/>
      <c r="F720" s="9"/>
      <c r="G720" s="16"/>
      <c r="H720" s="9"/>
      <c r="I720" s="16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>
      <c r="A721" s="14"/>
      <c r="B721" s="15"/>
      <c r="C721" s="16"/>
      <c r="D721" s="16"/>
      <c r="E721" s="16"/>
      <c r="F721" s="9"/>
      <c r="G721" s="16"/>
      <c r="H721" s="9"/>
      <c r="I721" s="16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>
      <c r="A722" s="14"/>
      <c r="B722" s="15"/>
      <c r="C722" s="16"/>
      <c r="D722" s="16"/>
      <c r="E722" s="16"/>
      <c r="F722" s="9"/>
      <c r="G722" s="16"/>
      <c r="H722" s="9"/>
      <c r="I722" s="16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>
      <c r="A723" s="14"/>
      <c r="B723" s="15"/>
      <c r="C723" s="16"/>
      <c r="D723" s="16"/>
      <c r="E723" s="16"/>
      <c r="F723" s="9"/>
      <c r="G723" s="16"/>
      <c r="H723" s="9"/>
      <c r="I723" s="16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>
      <c r="A724" s="14"/>
      <c r="B724" s="15"/>
      <c r="C724" s="16"/>
      <c r="D724" s="16"/>
      <c r="E724" s="16"/>
      <c r="F724" s="9"/>
      <c r="G724" s="16"/>
      <c r="H724" s="9"/>
      <c r="I724" s="16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>
      <c r="A725" s="14"/>
      <c r="B725" s="15"/>
      <c r="C725" s="16"/>
      <c r="D725" s="16"/>
      <c r="E725" s="16"/>
      <c r="F725" s="9"/>
      <c r="G725" s="16"/>
      <c r="H725" s="9"/>
      <c r="I725" s="16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>
      <c r="A726" s="14"/>
      <c r="B726" s="15"/>
      <c r="C726" s="16"/>
      <c r="D726" s="16"/>
      <c r="E726" s="16"/>
      <c r="F726" s="9"/>
      <c r="G726" s="16"/>
      <c r="H726" s="9"/>
      <c r="I726" s="16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>
      <c r="A727" s="14"/>
      <c r="B727" s="15"/>
      <c r="C727" s="16"/>
      <c r="D727" s="16"/>
      <c r="E727" s="16"/>
      <c r="F727" s="9"/>
      <c r="G727" s="16"/>
      <c r="H727" s="9"/>
      <c r="I727" s="16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>
      <c r="A728" s="14"/>
      <c r="B728" s="15"/>
      <c r="C728" s="16"/>
      <c r="D728" s="16"/>
      <c r="E728" s="16"/>
      <c r="F728" s="9"/>
      <c r="G728" s="16"/>
      <c r="H728" s="9"/>
      <c r="I728" s="16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>
      <c r="A729" s="14"/>
      <c r="B729" s="15"/>
      <c r="C729" s="16"/>
      <c r="D729" s="16"/>
      <c r="E729" s="16"/>
      <c r="F729" s="9"/>
      <c r="G729" s="16"/>
      <c r="H729" s="9"/>
      <c r="I729" s="16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>
      <c r="A730" s="14"/>
      <c r="B730" s="15"/>
      <c r="C730" s="16"/>
      <c r="D730" s="16"/>
      <c r="E730" s="16"/>
      <c r="F730" s="9"/>
      <c r="G730" s="16"/>
      <c r="H730" s="9"/>
      <c r="I730" s="16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>
      <c r="A731" s="14"/>
      <c r="B731" s="15"/>
      <c r="C731" s="16"/>
      <c r="D731" s="16"/>
      <c r="E731" s="16"/>
      <c r="F731" s="9"/>
      <c r="G731" s="16"/>
      <c r="H731" s="9"/>
      <c r="I731" s="16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>
      <c r="A732" s="14"/>
      <c r="B732" s="15"/>
      <c r="C732" s="16"/>
      <c r="D732" s="16"/>
      <c r="E732" s="16"/>
      <c r="F732" s="9"/>
      <c r="G732" s="16"/>
      <c r="H732" s="9"/>
      <c r="I732" s="16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>
      <c r="A733" s="14"/>
      <c r="B733" s="15"/>
      <c r="C733" s="16"/>
      <c r="D733" s="16"/>
      <c r="E733" s="16"/>
      <c r="F733" s="9"/>
      <c r="G733" s="16"/>
      <c r="H733" s="9"/>
      <c r="I733" s="16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>
      <c r="A734" s="14"/>
      <c r="B734" s="15"/>
      <c r="C734" s="16"/>
      <c r="D734" s="16"/>
      <c r="E734" s="16"/>
      <c r="F734" s="9"/>
      <c r="G734" s="16"/>
      <c r="H734" s="9"/>
      <c r="I734" s="16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>
      <c r="A735" s="14"/>
      <c r="B735" s="15"/>
      <c r="C735" s="16"/>
      <c r="D735" s="16"/>
      <c r="E735" s="16"/>
      <c r="F735" s="9"/>
      <c r="G735" s="16"/>
      <c r="H735" s="9"/>
      <c r="I735" s="16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>
      <c r="A736" s="14"/>
      <c r="B736" s="15"/>
      <c r="C736" s="16"/>
      <c r="D736" s="16"/>
      <c r="E736" s="16"/>
      <c r="F736" s="9"/>
      <c r="G736" s="16"/>
      <c r="H736" s="9"/>
      <c r="I736" s="16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>
      <c r="A737" s="14"/>
      <c r="B737" s="15"/>
      <c r="C737" s="16"/>
      <c r="D737" s="16"/>
      <c r="E737" s="16"/>
      <c r="F737" s="9"/>
      <c r="G737" s="16"/>
      <c r="H737" s="9"/>
      <c r="I737" s="16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>
      <c r="A738" s="14"/>
      <c r="B738" s="15"/>
      <c r="C738" s="16"/>
      <c r="D738" s="16"/>
      <c r="E738" s="16"/>
      <c r="F738" s="9"/>
      <c r="G738" s="16"/>
      <c r="H738" s="9"/>
      <c r="I738" s="16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>
      <c r="A739" s="14"/>
      <c r="B739" s="15"/>
      <c r="C739" s="16"/>
      <c r="D739" s="16"/>
      <c r="E739" s="16"/>
      <c r="F739" s="9"/>
      <c r="G739" s="16"/>
      <c r="H739" s="9"/>
      <c r="I739" s="16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>
      <c r="A740" s="14"/>
      <c r="B740" s="15"/>
      <c r="C740" s="16"/>
      <c r="D740" s="16"/>
      <c r="E740" s="16"/>
      <c r="F740" s="9"/>
      <c r="G740" s="16"/>
      <c r="H740" s="9"/>
      <c r="I740" s="16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>
      <c r="A741" s="14"/>
      <c r="B741" s="15"/>
      <c r="C741" s="16"/>
      <c r="D741" s="16"/>
      <c r="E741" s="16"/>
      <c r="F741" s="9"/>
      <c r="G741" s="16"/>
      <c r="H741" s="9"/>
      <c r="I741" s="16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>
      <c r="A742" s="14"/>
      <c r="B742" s="15"/>
      <c r="C742" s="16"/>
      <c r="D742" s="16"/>
      <c r="E742" s="16"/>
      <c r="F742" s="9"/>
      <c r="G742" s="16"/>
      <c r="H742" s="9"/>
      <c r="I742" s="16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>
      <c r="A743" s="14"/>
      <c r="B743" s="15"/>
      <c r="C743" s="16"/>
      <c r="D743" s="16"/>
      <c r="E743" s="16"/>
      <c r="F743" s="9"/>
      <c r="G743" s="16"/>
      <c r="H743" s="9"/>
      <c r="I743" s="16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>
      <c r="A744" s="14"/>
      <c r="B744" s="15"/>
      <c r="C744" s="16"/>
      <c r="D744" s="16"/>
      <c r="E744" s="16"/>
      <c r="F744" s="9"/>
      <c r="G744" s="16"/>
      <c r="H744" s="9"/>
      <c r="I744" s="16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>
      <c r="A745" s="14"/>
      <c r="B745" s="15"/>
      <c r="C745" s="16"/>
      <c r="D745" s="16"/>
      <c r="E745" s="16"/>
      <c r="F745" s="9"/>
      <c r="G745" s="16"/>
      <c r="H745" s="9"/>
      <c r="I745" s="16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>
      <c r="A746" s="14"/>
      <c r="B746" s="15"/>
      <c r="C746" s="16"/>
      <c r="D746" s="16"/>
      <c r="E746" s="16"/>
      <c r="F746" s="9"/>
      <c r="G746" s="16"/>
      <c r="H746" s="9"/>
      <c r="I746" s="16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>
      <c r="A747" s="14"/>
      <c r="B747" s="15"/>
      <c r="C747" s="16"/>
      <c r="D747" s="16"/>
      <c r="E747" s="16"/>
      <c r="F747" s="9"/>
      <c r="G747" s="16"/>
      <c r="H747" s="9"/>
      <c r="I747" s="16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>
      <c r="A748" s="14"/>
      <c r="B748" s="15"/>
      <c r="C748" s="16"/>
      <c r="D748" s="16"/>
      <c r="E748" s="16"/>
      <c r="F748" s="9"/>
      <c r="G748" s="16"/>
      <c r="H748" s="9"/>
      <c r="I748" s="16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>
      <c r="A749" s="14"/>
      <c r="B749" s="15"/>
      <c r="C749" s="16"/>
      <c r="D749" s="16"/>
      <c r="E749" s="16"/>
      <c r="F749" s="9"/>
      <c r="G749" s="16"/>
      <c r="H749" s="9"/>
      <c r="I749" s="16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>
      <c r="A750" s="14"/>
      <c r="B750" s="15"/>
      <c r="C750" s="16"/>
      <c r="D750" s="16"/>
      <c r="E750" s="16"/>
      <c r="F750" s="9"/>
      <c r="G750" s="16"/>
      <c r="H750" s="9"/>
      <c r="I750" s="16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>
      <c r="A751" s="14"/>
      <c r="B751" s="15"/>
      <c r="C751" s="16"/>
      <c r="D751" s="16"/>
      <c r="E751" s="16"/>
      <c r="F751" s="9"/>
      <c r="G751" s="16"/>
      <c r="H751" s="9"/>
      <c r="I751" s="16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>
      <c r="A752" s="14"/>
      <c r="B752" s="15"/>
      <c r="C752" s="16"/>
      <c r="D752" s="16"/>
      <c r="E752" s="16"/>
      <c r="F752" s="9"/>
      <c r="G752" s="16"/>
      <c r="H752" s="9"/>
      <c r="I752" s="16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>
      <c r="A753" s="14"/>
      <c r="B753" s="15"/>
      <c r="C753" s="16"/>
      <c r="D753" s="16"/>
      <c r="E753" s="16"/>
      <c r="F753" s="9"/>
      <c r="G753" s="16"/>
      <c r="H753" s="9"/>
      <c r="I753" s="16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>
      <c r="A754" s="14"/>
      <c r="B754" s="15"/>
      <c r="C754" s="16"/>
      <c r="D754" s="16"/>
      <c r="E754" s="16"/>
      <c r="F754" s="9"/>
      <c r="G754" s="16"/>
      <c r="H754" s="9"/>
      <c r="I754" s="16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>
      <c r="A755" s="14"/>
      <c r="B755" s="15"/>
      <c r="C755" s="16"/>
      <c r="D755" s="16"/>
      <c r="E755" s="16"/>
      <c r="F755" s="9"/>
      <c r="G755" s="16"/>
      <c r="H755" s="9"/>
      <c r="I755" s="16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>
      <c r="A756" s="14"/>
      <c r="B756" s="15"/>
      <c r="C756" s="16"/>
      <c r="D756" s="16"/>
      <c r="E756" s="16"/>
      <c r="F756" s="9"/>
      <c r="G756" s="16"/>
      <c r="H756" s="9"/>
      <c r="I756" s="16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>
      <c r="A757" s="14"/>
      <c r="B757" s="15"/>
      <c r="C757" s="16"/>
      <c r="D757" s="16"/>
      <c r="E757" s="16"/>
      <c r="F757" s="9"/>
      <c r="G757" s="16"/>
      <c r="H757" s="9"/>
      <c r="I757" s="16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>
      <c r="A758" s="14"/>
      <c r="B758" s="15"/>
      <c r="C758" s="16"/>
      <c r="D758" s="16"/>
      <c r="E758" s="16"/>
      <c r="F758" s="9"/>
      <c r="G758" s="16"/>
      <c r="H758" s="9"/>
      <c r="I758" s="16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>
      <c r="A759" s="14"/>
      <c r="B759" s="15"/>
      <c r="C759" s="16"/>
      <c r="D759" s="16"/>
      <c r="E759" s="16"/>
      <c r="F759" s="9"/>
      <c r="G759" s="16"/>
      <c r="H759" s="9"/>
      <c r="I759" s="16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>
      <c r="A760" s="14"/>
      <c r="B760" s="15"/>
      <c r="C760" s="16"/>
      <c r="D760" s="16"/>
      <c r="E760" s="16"/>
      <c r="F760" s="9"/>
      <c r="G760" s="16"/>
      <c r="H760" s="9"/>
      <c r="I760" s="16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>
      <c r="A761" s="14"/>
      <c r="B761" s="15"/>
      <c r="C761" s="16"/>
      <c r="D761" s="16"/>
      <c r="E761" s="16"/>
      <c r="F761" s="9"/>
      <c r="G761" s="16"/>
      <c r="H761" s="9"/>
      <c r="I761" s="16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>
      <c r="A762" s="14"/>
      <c r="B762" s="15"/>
      <c r="C762" s="16"/>
      <c r="D762" s="16"/>
      <c r="E762" s="16"/>
      <c r="F762" s="9"/>
      <c r="G762" s="16"/>
      <c r="H762" s="9"/>
      <c r="I762" s="16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>
      <c r="A763" s="14"/>
      <c r="B763" s="15"/>
      <c r="C763" s="16"/>
      <c r="D763" s="16"/>
      <c r="E763" s="16"/>
      <c r="F763" s="9"/>
      <c r="G763" s="16"/>
      <c r="H763" s="9"/>
      <c r="I763" s="16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>
      <c r="A764" s="14"/>
      <c r="B764" s="15"/>
      <c r="C764" s="16"/>
      <c r="D764" s="16"/>
      <c r="E764" s="16"/>
      <c r="F764" s="9"/>
      <c r="G764" s="16"/>
      <c r="H764" s="9"/>
      <c r="I764" s="16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>
      <c r="A765" s="14"/>
      <c r="B765" s="15"/>
      <c r="C765" s="16"/>
      <c r="D765" s="16"/>
      <c r="E765" s="16"/>
      <c r="F765" s="9"/>
      <c r="G765" s="16"/>
      <c r="H765" s="9"/>
      <c r="I765" s="16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>
      <c r="A766" s="14"/>
      <c r="B766" s="15"/>
      <c r="C766" s="16"/>
      <c r="D766" s="16"/>
      <c r="E766" s="16"/>
      <c r="F766" s="9"/>
      <c r="G766" s="16"/>
      <c r="H766" s="9"/>
      <c r="I766" s="16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>
      <c r="A767" s="14"/>
      <c r="B767" s="15"/>
      <c r="C767" s="16"/>
      <c r="D767" s="16"/>
      <c r="E767" s="16"/>
      <c r="F767" s="9"/>
      <c r="G767" s="16"/>
      <c r="H767" s="9"/>
      <c r="I767" s="16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>
      <c r="A768" s="14"/>
      <c r="B768" s="15"/>
      <c r="C768" s="16"/>
      <c r="D768" s="16"/>
      <c r="E768" s="16"/>
      <c r="F768" s="9"/>
      <c r="G768" s="16"/>
      <c r="H768" s="9"/>
      <c r="I768" s="16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>
      <c r="A769" s="14"/>
      <c r="B769" s="15"/>
      <c r="C769" s="16"/>
      <c r="D769" s="16"/>
      <c r="E769" s="16"/>
      <c r="F769" s="9"/>
      <c r="G769" s="16"/>
      <c r="H769" s="9"/>
      <c r="I769" s="16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>
      <c r="A770" s="14"/>
      <c r="B770" s="15"/>
      <c r="C770" s="16"/>
      <c r="D770" s="16"/>
      <c r="E770" s="16"/>
      <c r="F770" s="9"/>
      <c r="G770" s="16"/>
      <c r="H770" s="9"/>
      <c r="I770" s="16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>
      <c r="A771" s="14"/>
      <c r="B771" s="15"/>
      <c r="C771" s="16"/>
      <c r="D771" s="16"/>
      <c r="E771" s="16"/>
      <c r="F771" s="9"/>
      <c r="G771" s="16"/>
      <c r="H771" s="9"/>
      <c r="I771" s="16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>
      <c r="A772" s="14"/>
      <c r="B772" s="15"/>
      <c r="C772" s="16"/>
      <c r="D772" s="16"/>
      <c r="E772" s="16"/>
      <c r="F772" s="9"/>
      <c r="G772" s="16"/>
      <c r="H772" s="9"/>
      <c r="I772" s="16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>
      <c r="A773" s="14"/>
      <c r="B773" s="15"/>
      <c r="C773" s="16"/>
      <c r="D773" s="16"/>
      <c r="E773" s="16"/>
      <c r="F773" s="9"/>
      <c r="G773" s="16"/>
      <c r="H773" s="9"/>
      <c r="I773" s="16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>
      <c r="A774" s="14"/>
      <c r="B774" s="15"/>
      <c r="C774" s="16"/>
      <c r="D774" s="16"/>
      <c r="E774" s="16"/>
      <c r="F774" s="9"/>
      <c r="G774" s="16"/>
      <c r="H774" s="9"/>
      <c r="I774" s="16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>
      <c r="A775" s="14"/>
      <c r="B775" s="15"/>
      <c r="C775" s="16"/>
      <c r="D775" s="16"/>
      <c r="E775" s="16"/>
      <c r="F775" s="9"/>
      <c r="G775" s="16"/>
      <c r="H775" s="9"/>
      <c r="I775" s="16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>
      <c r="A776" s="14"/>
      <c r="B776" s="15"/>
      <c r="C776" s="16"/>
      <c r="D776" s="16"/>
      <c r="E776" s="16"/>
      <c r="F776" s="9"/>
      <c r="G776" s="16"/>
      <c r="H776" s="9"/>
      <c r="I776" s="16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>
      <c r="A777" s="14"/>
      <c r="B777" s="15"/>
      <c r="C777" s="16"/>
      <c r="D777" s="16"/>
      <c r="E777" s="16"/>
      <c r="F777" s="9"/>
      <c r="G777" s="16"/>
      <c r="H777" s="9"/>
      <c r="I777" s="16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>
      <c r="A778" s="14"/>
      <c r="B778" s="15"/>
      <c r="C778" s="16"/>
      <c r="D778" s="16"/>
      <c r="E778" s="16"/>
      <c r="F778" s="9"/>
      <c r="G778" s="16"/>
      <c r="H778" s="9"/>
      <c r="I778" s="16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>
      <c r="A779" s="14"/>
      <c r="B779" s="15"/>
      <c r="C779" s="16"/>
      <c r="D779" s="16"/>
      <c r="E779" s="16"/>
      <c r="F779" s="9"/>
      <c r="G779" s="16"/>
      <c r="H779" s="9"/>
      <c r="I779" s="16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>
      <c r="A780" s="14"/>
      <c r="B780" s="15"/>
      <c r="C780" s="16"/>
      <c r="D780" s="16"/>
      <c r="E780" s="16"/>
      <c r="F780" s="9"/>
      <c r="G780" s="16"/>
      <c r="H780" s="9"/>
      <c r="I780" s="16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>
      <c r="A781" s="14"/>
      <c r="B781" s="15"/>
      <c r="C781" s="16"/>
      <c r="D781" s="16"/>
      <c r="E781" s="16"/>
      <c r="F781" s="9"/>
      <c r="G781" s="16"/>
      <c r="H781" s="9"/>
      <c r="I781" s="16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>
      <c r="A782" s="14"/>
      <c r="B782" s="15"/>
      <c r="C782" s="16"/>
      <c r="D782" s="16"/>
      <c r="E782" s="16"/>
      <c r="F782" s="9"/>
      <c r="G782" s="16"/>
      <c r="H782" s="9"/>
      <c r="I782" s="16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>
      <c r="A783" s="14"/>
      <c r="B783" s="15"/>
      <c r="C783" s="16"/>
      <c r="D783" s="16"/>
      <c r="E783" s="16"/>
      <c r="F783" s="9"/>
      <c r="G783" s="16"/>
      <c r="H783" s="9"/>
      <c r="I783" s="16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>
      <c r="A784" s="14"/>
      <c r="B784" s="15"/>
      <c r="C784" s="16"/>
      <c r="D784" s="16"/>
      <c r="E784" s="16"/>
      <c r="F784" s="9"/>
      <c r="G784" s="16"/>
      <c r="H784" s="9"/>
      <c r="I784" s="16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>
      <c r="A785" s="14"/>
      <c r="B785" s="15"/>
      <c r="C785" s="16"/>
      <c r="D785" s="16"/>
      <c r="E785" s="16"/>
      <c r="F785" s="9"/>
      <c r="G785" s="16"/>
      <c r="H785" s="9"/>
      <c r="I785" s="16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>
      <c r="A786" s="14"/>
      <c r="B786" s="15"/>
      <c r="C786" s="16"/>
      <c r="D786" s="16"/>
      <c r="E786" s="16"/>
      <c r="F786" s="9"/>
      <c r="G786" s="16"/>
      <c r="H786" s="9"/>
      <c r="I786" s="16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>
      <c r="A787" s="14"/>
      <c r="B787" s="15"/>
      <c r="C787" s="16"/>
      <c r="D787" s="16"/>
      <c r="E787" s="16"/>
      <c r="F787" s="9"/>
      <c r="G787" s="16"/>
      <c r="H787" s="9"/>
      <c r="I787" s="16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>
      <c r="A788" s="14"/>
      <c r="B788" s="15"/>
      <c r="C788" s="16"/>
      <c r="D788" s="16"/>
      <c r="E788" s="16"/>
      <c r="F788" s="9"/>
      <c r="G788" s="16"/>
      <c r="H788" s="9"/>
      <c r="I788" s="16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>
      <c r="A789" s="14"/>
      <c r="B789" s="15"/>
      <c r="C789" s="16"/>
      <c r="D789" s="16"/>
      <c r="E789" s="16"/>
      <c r="F789" s="9"/>
      <c r="G789" s="16"/>
      <c r="H789" s="9"/>
      <c r="I789" s="16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>
      <c r="A790" s="14"/>
      <c r="B790" s="15"/>
      <c r="C790" s="16"/>
      <c r="D790" s="16"/>
      <c r="E790" s="16"/>
      <c r="F790" s="9"/>
      <c r="G790" s="16"/>
      <c r="H790" s="9"/>
      <c r="I790" s="16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>
      <c r="A791" s="14"/>
      <c r="B791" s="15"/>
      <c r="C791" s="16"/>
      <c r="D791" s="16"/>
      <c r="E791" s="16"/>
      <c r="F791" s="9"/>
      <c r="G791" s="16"/>
      <c r="H791" s="9"/>
      <c r="I791" s="16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>
      <c r="A792" s="14"/>
      <c r="B792" s="15"/>
      <c r="C792" s="16"/>
      <c r="D792" s="16"/>
      <c r="E792" s="16"/>
      <c r="F792" s="9"/>
      <c r="G792" s="16"/>
      <c r="H792" s="9"/>
      <c r="I792" s="16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>
      <c r="A793" s="14"/>
      <c r="B793" s="15"/>
      <c r="C793" s="16"/>
      <c r="D793" s="16"/>
      <c r="E793" s="16"/>
      <c r="F793" s="9"/>
      <c r="G793" s="16"/>
      <c r="H793" s="9"/>
      <c r="I793" s="16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>
      <c r="A794" s="14"/>
      <c r="B794" s="15"/>
      <c r="C794" s="16"/>
      <c r="D794" s="16"/>
      <c r="E794" s="16"/>
      <c r="F794" s="9"/>
      <c r="G794" s="16"/>
      <c r="H794" s="9"/>
      <c r="I794" s="16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>
      <c r="A795" s="14"/>
      <c r="B795" s="15"/>
      <c r="C795" s="16"/>
      <c r="D795" s="16"/>
      <c r="E795" s="16"/>
      <c r="F795" s="9"/>
      <c r="G795" s="16"/>
      <c r="H795" s="9"/>
      <c r="I795" s="16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>
      <c r="A796" s="14"/>
      <c r="B796" s="15"/>
      <c r="C796" s="16"/>
      <c r="D796" s="16"/>
      <c r="E796" s="16"/>
      <c r="F796" s="9"/>
      <c r="G796" s="16"/>
      <c r="H796" s="9"/>
      <c r="I796" s="16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>
      <c r="A797" s="14"/>
      <c r="B797" s="15"/>
      <c r="C797" s="16"/>
      <c r="D797" s="16"/>
      <c r="E797" s="16"/>
      <c r="F797" s="9"/>
      <c r="G797" s="16"/>
      <c r="H797" s="9"/>
      <c r="I797" s="16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>
      <c r="A798" s="14"/>
      <c r="B798" s="15"/>
      <c r="C798" s="16"/>
      <c r="D798" s="16"/>
      <c r="E798" s="16"/>
      <c r="F798" s="9"/>
      <c r="G798" s="16"/>
      <c r="H798" s="9"/>
      <c r="I798" s="16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>
      <c r="A799" s="14"/>
      <c r="B799" s="15"/>
      <c r="C799" s="16"/>
      <c r="D799" s="16"/>
      <c r="E799" s="16"/>
      <c r="F799" s="9"/>
      <c r="G799" s="16"/>
      <c r="H799" s="9"/>
      <c r="I799" s="16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>
      <c r="A800" s="14"/>
      <c r="B800" s="15"/>
      <c r="C800" s="16"/>
      <c r="D800" s="16"/>
      <c r="E800" s="16"/>
      <c r="F800" s="9"/>
      <c r="G800" s="16"/>
      <c r="H800" s="9"/>
      <c r="I800" s="16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>
      <c r="A801" s="14"/>
      <c r="B801" s="15"/>
      <c r="C801" s="16"/>
      <c r="D801" s="16"/>
      <c r="E801" s="16"/>
      <c r="F801" s="9"/>
      <c r="G801" s="16"/>
      <c r="H801" s="9"/>
      <c r="I801" s="16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>
      <c r="A802" s="14"/>
      <c r="B802" s="15"/>
      <c r="C802" s="16"/>
      <c r="D802" s="16"/>
      <c r="E802" s="16"/>
      <c r="F802" s="9"/>
      <c r="G802" s="16"/>
      <c r="H802" s="9"/>
      <c r="I802" s="16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>
      <c r="A803" s="14"/>
      <c r="B803" s="15"/>
      <c r="C803" s="16"/>
      <c r="D803" s="16"/>
      <c r="E803" s="16"/>
      <c r="F803" s="9"/>
      <c r="G803" s="16"/>
      <c r="H803" s="9"/>
      <c r="I803" s="16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>
      <c r="A804" s="14"/>
      <c r="B804" s="15"/>
      <c r="C804" s="16"/>
      <c r="D804" s="16"/>
      <c r="E804" s="16"/>
      <c r="F804" s="9"/>
      <c r="G804" s="16"/>
      <c r="H804" s="9"/>
      <c r="I804" s="16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>
      <c r="A805" s="14"/>
      <c r="B805" s="15"/>
      <c r="C805" s="16"/>
      <c r="D805" s="16"/>
      <c r="E805" s="16"/>
      <c r="F805" s="9"/>
      <c r="G805" s="16"/>
      <c r="H805" s="9"/>
      <c r="I805" s="16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>
      <c r="A806" s="14"/>
      <c r="B806" s="15"/>
      <c r="C806" s="16"/>
      <c r="D806" s="16"/>
      <c r="E806" s="16"/>
      <c r="F806" s="9"/>
      <c r="G806" s="16"/>
      <c r="H806" s="9"/>
      <c r="I806" s="16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>
      <c r="A807" s="14"/>
      <c r="B807" s="15"/>
      <c r="C807" s="16"/>
      <c r="D807" s="16"/>
      <c r="E807" s="16"/>
      <c r="F807" s="9"/>
      <c r="G807" s="16"/>
      <c r="H807" s="9"/>
      <c r="I807" s="16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>
      <c r="A808" s="14"/>
      <c r="B808" s="15"/>
      <c r="C808" s="16"/>
      <c r="D808" s="16"/>
      <c r="E808" s="16"/>
      <c r="F808" s="9"/>
      <c r="G808" s="16"/>
      <c r="H808" s="9"/>
      <c r="I808" s="16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>
      <c r="A809" s="14"/>
      <c r="B809" s="15"/>
      <c r="C809" s="16"/>
      <c r="D809" s="16"/>
      <c r="E809" s="16"/>
      <c r="F809" s="9"/>
      <c r="G809" s="16"/>
      <c r="H809" s="9"/>
      <c r="I809" s="16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>
      <c r="A810" s="14"/>
      <c r="B810" s="15"/>
      <c r="C810" s="16"/>
      <c r="D810" s="16"/>
      <c r="E810" s="16"/>
      <c r="F810" s="9"/>
      <c r="G810" s="16"/>
      <c r="H810" s="9"/>
      <c r="I810" s="16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>
      <c r="A811" s="14"/>
      <c r="B811" s="15"/>
      <c r="C811" s="16"/>
      <c r="D811" s="16"/>
      <c r="E811" s="16"/>
      <c r="F811" s="9"/>
      <c r="G811" s="16"/>
      <c r="H811" s="9"/>
      <c r="I811" s="16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>
      <c r="A812" s="14"/>
      <c r="B812" s="15"/>
      <c r="C812" s="16"/>
      <c r="D812" s="16"/>
      <c r="E812" s="16"/>
      <c r="F812" s="9"/>
      <c r="G812" s="16"/>
      <c r="H812" s="9"/>
      <c r="I812" s="16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>
      <c r="A813" s="14"/>
      <c r="B813" s="15"/>
      <c r="C813" s="16"/>
      <c r="D813" s="16"/>
      <c r="E813" s="16"/>
      <c r="F813" s="9"/>
      <c r="G813" s="16"/>
      <c r="H813" s="9"/>
      <c r="I813" s="16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>
      <c r="A814" s="14"/>
      <c r="B814" s="15"/>
      <c r="C814" s="16"/>
      <c r="D814" s="16"/>
      <c r="E814" s="16"/>
      <c r="F814" s="9"/>
      <c r="G814" s="16"/>
      <c r="H814" s="9"/>
      <c r="I814" s="16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>
      <c r="A815" s="14"/>
      <c r="B815" s="15"/>
      <c r="C815" s="16"/>
      <c r="D815" s="16"/>
      <c r="E815" s="16"/>
      <c r="F815" s="9"/>
      <c r="G815" s="16"/>
      <c r="H815" s="9"/>
      <c r="I815" s="16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>
      <c r="A816" s="14"/>
      <c r="B816" s="15"/>
      <c r="C816" s="16"/>
      <c r="D816" s="16"/>
      <c r="E816" s="16"/>
      <c r="F816" s="9"/>
      <c r="G816" s="16"/>
      <c r="H816" s="9"/>
      <c r="I816" s="16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>
      <c r="A817" s="14"/>
      <c r="B817" s="15"/>
      <c r="C817" s="16"/>
      <c r="D817" s="16"/>
      <c r="E817" s="16"/>
      <c r="F817" s="9"/>
      <c r="G817" s="16"/>
      <c r="H817" s="9"/>
      <c r="I817" s="16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>
      <c r="A818" s="14"/>
      <c r="B818" s="15"/>
      <c r="C818" s="16"/>
      <c r="D818" s="16"/>
      <c r="E818" s="16"/>
      <c r="F818" s="9"/>
      <c r="G818" s="16"/>
      <c r="H818" s="9"/>
      <c r="I818" s="16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>
      <c r="A819" s="14"/>
      <c r="B819" s="15"/>
      <c r="C819" s="16"/>
      <c r="D819" s="16"/>
      <c r="E819" s="16"/>
      <c r="F819" s="9"/>
      <c r="G819" s="16"/>
      <c r="H819" s="9"/>
      <c r="I819" s="16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>
      <c r="A820" s="14"/>
      <c r="B820" s="15"/>
      <c r="C820" s="16"/>
      <c r="D820" s="16"/>
      <c r="E820" s="16"/>
      <c r="F820" s="9"/>
      <c r="G820" s="16"/>
      <c r="H820" s="9"/>
      <c r="I820" s="16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>
      <c r="A821" s="14"/>
      <c r="B821" s="15"/>
      <c r="C821" s="16"/>
      <c r="D821" s="16"/>
      <c r="E821" s="16"/>
      <c r="F821" s="9"/>
      <c r="G821" s="16"/>
      <c r="H821" s="9"/>
      <c r="I821" s="16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>
      <c r="A822" s="14"/>
      <c r="B822" s="15"/>
      <c r="C822" s="16"/>
      <c r="D822" s="16"/>
      <c r="E822" s="16"/>
      <c r="F822" s="9"/>
      <c r="G822" s="16"/>
      <c r="H822" s="9"/>
      <c r="I822" s="16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>
      <c r="A823" s="14"/>
      <c r="B823" s="15"/>
      <c r="C823" s="16"/>
      <c r="D823" s="16"/>
      <c r="E823" s="16"/>
      <c r="F823" s="9"/>
      <c r="G823" s="16"/>
      <c r="H823" s="9"/>
      <c r="I823" s="16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>
      <c r="A824" s="14"/>
      <c r="B824" s="15"/>
      <c r="C824" s="16"/>
      <c r="D824" s="16"/>
      <c r="E824" s="16"/>
      <c r="F824" s="9"/>
      <c r="G824" s="16"/>
      <c r="H824" s="9"/>
      <c r="I824" s="16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>
      <c r="A825" s="14"/>
      <c r="B825" s="15"/>
      <c r="C825" s="16"/>
      <c r="D825" s="16"/>
      <c r="E825" s="16"/>
      <c r="F825" s="9"/>
      <c r="G825" s="16"/>
      <c r="H825" s="9"/>
      <c r="I825" s="16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>
      <c r="A826" s="14"/>
      <c r="B826" s="15"/>
      <c r="C826" s="16"/>
      <c r="D826" s="16"/>
      <c r="E826" s="16"/>
      <c r="F826" s="9"/>
      <c r="G826" s="16"/>
      <c r="H826" s="9"/>
      <c r="I826" s="16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>
      <c r="A827" s="14"/>
      <c r="B827" s="15"/>
      <c r="C827" s="16"/>
      <c r="D827" s="16"/>
      <c r="E827" s="16"/>
      <c r="F827" s="9"/>
      <c r="G827" s="16"/>
      <c r="H827" s="9"/>
      <c r="I827" s="16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>
      <c r="A828" s="14"/>
      <c r="B828" s="15"/>
      <c r="C828" s="16"/>
      <c r="D828" s="16"/>
      <c r="E828" s="16"/>
      <c r="F828" s="9"/>
      <c r="G828" s="16"/>
      <c r="H828" s="9"/>
      <c r="I828" s="16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>
      <c r="A829" s="14"/>
      <c r="B829" s="15"/>
      <c r="C829" s="16"/>
      <c r="D829" s="16"/>
      <c r="E829" s="16"/>
      <c r="F829" s="9"/>
      <c r="G829" s="16"/>
      <c r="H829" s="9"/>
      <c r="I829" s="16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>
      <c r="A830" s="14"/>
      <c r="B830" s="15"/>
      <c r="C830" s="16"/>
      <c r="D830" s="16"/>
      <c r="E830" s="16"/>
      <c r="F830" s="9"/>
      <c r="G830" s="16"/>
      <c r="H830" s="9"/>
      <c r="I830" s="16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>
      <c r="A831" s="14"/>
      <c r="B831" s="15"/>
      <c r="C831" s="16"/>
      <c r="D831" s="16"/>
      <c r="E831" s="16"/>
      <c r="F831" s="9"/>
      <c r="G831" s="16"/>
      <c r="H831" s="9"/>
      <c r="I831" s="16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>
      <c r="A832" s="14"/>
      <c r="B832" s="15"/>
      <c r="C832" s="16"/>
      <c r="D832" s="16"/>
      <c r="E832" s="16"/>
      <c r="F832" s="9"/>
      <c r="G832" s="16"/>
      <c r="H832" s="9"/>
      <c r="I832" s="16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>
      <c r="A833" s="14"/>
      <c r="B833" s="15"/>
      <c r="C833" s="16"/>
      <c r="D833" s="16"/>
      <c r="E833" s="16"/>
      <c r="F833" s="9"/>
      <c r="G833" s="16"/>
      <c r="H833" s="9"/>
      <c r="I833" s="16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>
      <c r="A834" s="14"/>
      <c r="B834" s="15"/>
      <c r="C834" s="16"/>
      <c r="D834" s="16"/>
      <c r="E834" s="16"/>
      <c r="F834" s="9"/>
      <c r="G834" s="16"/>
      <c r="H834" s="9"/>
      <c r="I834" s="16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>
      <c r="A835" s="14"/>
      <c r="B835" s="15"/>
      <c r="C835" s="16"/>
      <c r="D835" s="16"/>
      <c r="E835" s="16"/>
      <c r="F835" s="9"/>
      <c r="G835" s="16"/>
      <c r="H835" s="9"/>
      <c r="I835" s="16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>
      <c r="A836" s="14"/>
      <c r="B836" s="15"/>
      <c r="C836" s="16"/>
      <c r="D836" s="16"/>
      <c r="E836" s="16"/>
      <c r="F836" s="9"/>
      <c r="G836" s="16"/>
      <c r="H836" s="9"/>
      <c r="I836" s="16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>
      <c r="A837" s="14"/>
      <c r="B837" s="15"/>
      <c r="C837" s="16"/>
      <c r="D837" s="16"/>
      <c r="E837" s="16"/>
      <c r="F837" s="9"/>
      <c r="G837" s="16"/>
      <c r="H837" s="9"/>
      <c r="I837" s="16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>
      <c r="A838" s="14"/>
      <c r="B838" s="15"/>
      <c r="C838" s="16"/>
      <c r="D838" s="16"/>
      <c r="E838" s="16"/>
      <c r="F838" s="9"/>
      <c r="G838" s="16"/>
      <c r="H838" s="9"/>
      <c r="I838" s="16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>
      <c r="A839" s="14"/>
      <c r="B839" s="15"/>
      <c r="C839" s="16"/>
      <c r="D839" s="16"/>
      <c r="E839" s="16"/>
      <c r="F839" s="9"/>
      <c r="G839" s="16"/>
      <c r="H839" s="9"/>
      <c r="I839" s="16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>
      <c r="A840" s="14"/>
      <c r="B840" s="15"/>
      <c r="C840" s="16"/>
      <c r="D840" s="16"/>
      <c r="E840" s="16"/>
      <c r="F840" s="9"/>
      <c r="G840" s="16"/>
      <c r="H840" s="9"/>
      <c r="I840" s="16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>
      <c r="A841" s="14"/>
      <c r="B841" s="15"/>
      <c r="C841" s="16"/>
      <c r="D841" s="16"/>
      <c r="E841" s="16"/>
      <c r="F841" s="9"/>
      <c r="G841" s="16"/>
      <c r="H841" s="9"/>
      <c r="I841" s="16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>
      <c r="A842" s="14"/>
      <c r="B842" s="15"/>
      <c r="C842" s="16"/>
      <c r="D842" s="16"/>
      <c r="E842" s="16"/>
      <c r="F842" s="9"/>
      <c r="G842" s="16"/>
      <c r="H842" s="9"/>
      <c r="I842" s="16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>
      <c r="A843" s="14"/>
      <c r="B843" s="15"/>
      <c r="C843" s="16"/>
      <c r="D843" s="16"/>
      <c r="E843" s="16"/>
      <c r="F843" s="9"/>
      <c r="G843" s="16"/>
      <c r="H843" s="9"/>
      <c r="I843" s="16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>
      <c r="A844" s="14"/>
      <c r="B844" s="15"/>
      <c r="C844" s="16"/>
      <c r="D844" s="16"/>
      <c r="E844" s="16"/>
      <c r="F844" s="9"/>
      <c r="G844" s="16"/>
      <c r="H844" s="9"/>
      <c r="I844" s="16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>
      <c r="A845" s="14"/>
      <c r="B845" s="15"/>
      <c r="C845" s="16"/>
      <c r="D845" s="16"/>
      <c r="E845" s="16"/>
      <c r="F845" s="9"/>
      <c r="G845" s="16"/>
      <c r="H845" s="9"/>
      <c r="I845" s="16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>
      <c r="A846" s="14"/>
      <c r="B846" s="15"/>
      <c r="C846" s="16"/>
      <c r="D846" s="16"/>
      <c r="E846" s="16"/>
      <c r="F846" s="9"/>
      <c r="G846" s="16"/>
      <c r="H846" s="9"/>
      <c r="I846" s="16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>
      <c r="A847" s="14"/>
      <c r="B847" s="15"/>
      <c r="C847" s="16"/>
      <c r="D847" s="16"/>
      <c r="E847" s="16"/>
      <c r="F847" s="9"/>
      <c r="G847" s="16"/>
      <c r="H847" s="9"/>
      <c r="I847" s="16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>
      <c r="A848" s="14"/>
      <c r="B848" s="15"/>
      <c r="C848" s="16"/>
      <c r="D848" s="16"/>
      <c r="E848" s="16"/>
      <c r="F848" s="9"/>
      <c r="G848" s="16"/>
      <c r="H848" s="9"/>
      <c r="I848" s="16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>
      <c r="A849" s="14"/>
      <c r="B849" s="15"/>
      <c r="C849" s="16"/>
      <c r="D849" s="16"/>
      <c r="E849" s="16"/>
      <c r="F849" s="9"/>
      <c r="G849" s="16"/>
      <c r="H849" s="9"/>
      <c r="I849" s="16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>
      <c r="A850" s="14"/>
      <c r="B850" s="15"/>
      <c r="C850" s="16"/>
      <c r="D850" s="16"/>
      <c r="E850" s="16"/>
      <c r="F850" s="9"/>
      <c r="G850" s="16"/>
      <c r="H850" s="9"/>
      <c r="I850" s="16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>
      <c r="A851" s="14"/>
      <c r="B851" s="15"/>
      <c r="C851" s="16"/>
      <c r="D851" s="16"/>
      <c r="E851" s="16"/>
      <c r="F851" s="9"/>
      <c r="G851" s="16"/>
      <c r="H851" s="9"/>
      <c r="I851" s="16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>
      <c r="A852" s="14"/>
      <c r="B852" s="15"/>
      <c r="C852" s="16"/>
      <c r="D852" s="16"/>
      <c r="E852" s="16"/>
      <c r="F852" s="9"/>
      <c r="G852" s="16"/>
      <c r="H852" s="9"/>
      <c r="I852" s="16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>
      <c r="A853" s="14"/>
      <c r="B853" s="15"/>
      <c r="C853" s="16"/>
      <c r="D853" s="16"/>
      <c r="E853" s="16"/>
      <c r="F853" s="9"/>
      <c r="G853" s="16"/>
      <c r="H853" s="9"/>
      <c r="I853" s="16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>
      <c r="A854" s="14"/>
      <c r="B854" s="15"/>
      <c r="C854" s="16"/>
      <c r="D854" s="16"/>
      <c r="E854" s="16"/>
      <c r="F854" s="9"/>
      <c r="G854" s="16"/>
      <c r="H854" s="9"/>
      <c r="I854" s="16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>
      <c r="A855" s="14"/>
      <c r="B855" s="15"/>
      <c r="C855" s="16"/>
      <c r="D855" s="16"/>
      <c r="E855" s="16"/>
      <c r="F855" s="9"/>
      <c r="G855" s="16"/>
      <c r="H855" s="9"/>
      <c r="I855" s="16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>
      <c r="A856" s="14"/>
      <c r="B856" s="15"/>
      <c r="C856" s="16"/>
      <c r="D856" s="16"/>
      <c r="E856" s="16"/>
      <c r="F856" s="9"/>
      <c r="G856" s="16"/>
      <c r="H856" s="9"/>
      <c r="I856" s="16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>
      <c r="A857" s="14"/>
      <c r="B857" s="15"/>
      <c r="C857" s="16"/>
      <c r="D857" s="16"/>
      <c r="E857" s="16"/>
      <c r="F857" s="9"/>
      <c r="G857" s="16"/>
      <c r="H857" s="9"/>
      <c r="I857" s="16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>
      <c r="A858" s="14"/>
      <c r="B858" s="15"/>
      <c r="C858" s="16"/>
      <c r="D858" s="16"/>
      <c r="E858" s="16"/>
      <c r="F858" s="9"/>
      <c r="G858" s="16"/>
      <c r="H858" s="9"/>
      <c r="I858" s="16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>
      <c r="A859" s="14"/>
      <c r="B859" s="15"/>
      <c r="C859" s="16"/>
      <c r="D859" s="16"/>
      <c r="E859" s="16"/>
      <c r="F859" s="9"/>
      <c r="G859" s="16"/>
      <c r="H859" s="9"/>
      <c r="I859" s="16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>
      <c r="A860" s="14"/>
      <c r="B860" s="15"/>
      <c r="C860" s="16"/>
      <c r="D860" s="16"/>
      <c r="E860" s="16"/>
      <c r="F860" s="9"/>
      <c r="G860" s="16"/>
      <c r="H860" s="9"/>
      <c r="I860" s="16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>
      <c r="A861" s="14"/>
      <c r="B861" s="15"/>
      <c r="C861" s="16"/>
      <c r="D861" s="16"/>
      <c r="E861" s="16"/>
      <c r="F861" s="9"/>
      <c r="G861" s="16"/>
      <c r="H861" s="9"/>
      <c r="I861" s="16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>
      <c r="A862" s="14"/>
      <c r="B862" s="15"/>
      <c r="C862" s="16"/>
      <c r="D862" s="16"/>
      <c r="E862" s="16"/>
      <c r="F862" s="9"/>
      <c r="G862" s="16"/>
      <c r="H862" s="9"/>
      <c r="I862" s="16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>
      <c r="A863" s="14"/>
      <c r="B863" s="15"/>
      <c r="C863" s="16"/>
      <c r="D863" s="16"/>
      <c r="E863" s="16"/>
      <c r="F863" s="9"/>
      <c r="G863" s="16"/>
      <c r="H863" s="9"/>
      <c r="I863" s="16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>
      <c r="A864" s="14"/>
      <c r="B864" s="15"/>
      <c r="C864" s="16"/>
      <c r="D864" s="16"/>
      <c r="E864" s="16"/>
      <c r="F864" s="9"/>
      <c r="G864" s="16"/>
      <c r="H864" s="9"/>
      <c r="I864" s="16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>
      <c r="A865" s="14"/>
      <c r="B865" s="15"/>
      <c r="C865" s="16"/>
      <c r="D865" s="16"/>
      <c r="E865" s="16"/>
      <c r="F865" s="9"/>
      <c r="G865" s="16"/>
      <c r="H865" s="9"/>
      <c r="I865" s="16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>
      <c r="A866" s="14"/>
      <c r="B866" s="15"/>
      <c r="C866" s="16"/>
      <c r="D866" s="16"/>
      <c r="E866" s="16"/>
      <c r="F866" s="9"/>
      <c r="G866" s="16"/>
      <c r="H866" s="9"/>
      <c r="I866" s="16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>
      <c r="A867" s="14"/>
      <c r="B867" s="15"/>
      <c r="C867" s="16"/>
      <c r="D867" s="16"/>
      <c r="E867" s="16"/>
      <c r="F867" s="9"/>
      <c r="G867" s="16"/>
      <c r="H867" s="9"/>
      <c r="I867" s="16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>
      <c r="A868" s="14"/>
      <c r="B868" s="15"/>
      <c r="C868" s="16"/>
      <c r="D868" s="16"/>
      <c r="E868" s="16"/>
      <c r="F868" s="9"/>
      <c r="G868" s="16"/>
      <c r="H868" s="9"/>
      <c r="I868" s="16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>
      <c r="A869" s="14"/>
      <c r="B869" s="15"/>
      <c r="C869" s="16"/>
      <c r="D869" s="16"/>
      <c r="E869" s="16"/>
      <c r="F869" s="9"/>
      <c r="G869" s="16"/>
      <c r="H869" s="9"/>
      <c r="I869" s="16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>
      <c r="A870" s="14"/>
      <c r="B870" s="15"/>
      <c r="C870" s="16"/>
      <c r="D870" s="16"/>
      <c r="E870" s="16"/>
      <c r="F870" s="9"/>
      <c r="G870" s="16"/>
      <c r="H870" s="9"/>
      <c r="I870" s="16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>
      <c r="A871" s="14"/>
      <c r="B871" s="15"/>
      <c r="C871" s="16"/>
      <c r="D871" s="16"/>
      <c r="E871" s="16"/>
      <c r="F871" s="9"/>
      <c r="G871" s="16"/>
      <c r="H871" s="9"/>
      <c r="I871" s="16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>
      <c r="A872" s="14"/>
      <c r="B872" s="15"/>
      <c r="C872" s="16"/>
      <c r="D872" s="16"/>
      <c r="E872" s="16"/>
      <c r="F872" s="9"/>
      <c r="G872" s="16"/>
      <c r="H872" s="9"/>
      <c r="I872" s="16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>
      <c r="A873" s="14"/>
      <c r="B873" s="15"/>
      <c r="C873" s="16"/>
      <c r="D873" s="16"/>
      <c r="E873" s="16"/>
      <c r="F873" s="9"/>
      <c r="G873" s="16"/>
      <c r="H873" s="9"/>
      <c r="I873" s="16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>
      <c r="A874" s="14"/>
      <c r="B874" s="15"/>
      <c r="C874" s="16"/>
      <c r="D874" s="16"/>
      <c r="E874" s="16"/>
      <c r="F874" s="9"/>
      <c r="G874" s="16"/>
      <c r="H874" s="9"/>
      <c r="I874" s="16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>
      <c r="A875" s="14"/>
      <c r="B875" s="15"/>
      <c r="C875" s="16"/>
      <c r="D875" s="16"/>
      <c r="E875" s="16"/>
      <c r="F875" s="9"/>
      <c r="G875" s="16"/>
      <c r="H875" s="9"/>
      <c r="I875" s="16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>
      <c r="A876" s="14"/>
      <c r="B876" s="15"/>
      <c r="C876" s="16"/>
      <c r="D876" s="16"/>
      <c r="E876" s="16"/>
      <c r="F876" s="9"/>
      <c r="G876" s="16"/>
      <c r="H876" s="9"/>
      <c r="I876" s="16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>
      <c r="A877" s="14"/>
      <c r="B877" s="15"/>
      <c r="C877" s="16"/>
      <c r="D877" s="16"/>
      <c r="E877" s="16"/>
      <c r="F877" s="9"/>
      <c r="G877" s="16"/>
      <c r="H877" s="9"/>
      <c r="I877" s="16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>
      <c r="A878" s="14"/>
      <c r="B878" s="15"/>
      <c r="C878" s="16"/>
      <c r="D878" s="16"/>
      <c r="E878" s="16"/>
      <c r="F878" s="9"/>
      <c r="G878" s="16"/>
      <c r="H878" s="9"/>
      <c r="I878" s="16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>
      <c r="A879" s="14"/>
      <c r="B879" s="15"/>
      <c r="C879" s="16"/>
      <c r="D879" s="16"/>
      <c r="E879" s="16"/>
      <c r="F879" s="9"/>
      <c r="G879" s="16"/>
      <c r="H879" s="9"/>
      <c r="I879" s="16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>
      <c r="A880" s="14"/>
      <c r="B880" s="15"/>
      <c r="C880" s="16"/>
      <c r="D880" s="16"/>
      <c r="E880" s="16"/>
      <c r="F880" s="9"/>
      <c r="G880" s="16"/>
      <c r="H880" s="9"/>
      <c r="I880" s="16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>
      <c r="A881" s="14"/>
      <c r="B881" s="15"/>
      <c r="C881" s="16"/>
      <c r="D881" s="16"/>
      <c r="E881" s="16"/>
      <c r="F881" s="9"/>
      <c r="G881" s="16"/>
      <c r="H881" s="9"/>
      <c r="I881" s="16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>
      <c r="A882" s="14"/>
      <c r="B882" s="15"/>
      <c r="C882" s="16"/>
      <c r="D882" s="16"/>
      <c r="E882" s="16"/>
      <c r="F882" s="9"/>
      <c r="G882" s="16"/>
      <c r="H882" s="9"/>
      <c r="I882" s="16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>
      <c r="A883" s="14"/>
      <c r="B883" s="15"/>
      <c r="C883" s="16"/>
      <c r="D883" s="16"/>
      <c r="E883" s="16"/>
      <c r="F883" s="9"/>
      <c r="G883" s="16"/>
      <c r="H883" s="9"/>
      <c r="I883" s="16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>
      <c r="A884" s="14"/>
      <c r="B884" s="15"/>
      <c r="C884" s="16"/>
      <c r="D884" s="16"/>
      <c r="E884" s="16"/>
      <c r="F884" s="9"/>
      <c r="G884" s="16"/>
      <c r="H884" s="9"/>
      <c r="I884" s="16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>
      <c r="A885" s="14"/>
      <c r="B885" s="15"/>
      <c r="C885" s="16"/>
      <c r="D885" s="16"/>
      <c r="E885" s="16"/>
      <c r="F885" s="9"/>
      <c r="G885" s="16"/>
      <c r="H885" s="9"/>
      <c r="I885" s="16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>
      <c r="A886" s="14"/>
      <c r="B886" s="15"/>
      <c r="C886" s="16"/>
      <c r="D886" s="16"/>
      <c r="E886" s="16"/>
      <c r="F886" s="9"/>
      <c r="G886" s="16"/>
      <c r="H886" s="9"/>
      <c r="I886" s="16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>
      <c r="A887" s="14"/>
      <c r="B887" s="15"/>
      <c r="C887" s="16"/>
      <c r="D887" s="16"/>
      <c r="E887" s="16"/>
      <c r="F887" s="9"/>
      <c r="G887" s="16"/>
      <c r="H887" s="9"/>
      <c r="I887" s="16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>
      <c r="A888" s="14"/>
      <c r="B888" s="15"/>
      <c r="C888" s="16"/>
      <c r="D888" s="16"/>
      <c r="E888" s="16"/>
      <c r="F888" s="9"/>
      <c r="G888" s="16"/>
      <c r="H888" s="9"/>
      <c r="I888" s="16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>
      <c r="A889" s="14"/>
      <c r="B889" s="15"/>
      <c r="C889" s="16"/>
      <c r="D889" s="16"/>
      <c r="E889" s="16"/>
      <c r="F889" s="9"/>
      <c r="G889" s="16"/>
      <c r="H889" s="9"/>
      <c r="I889" s="16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>
      <c r="A890" s="14"/>
      <c r="B890" s="15"/>
      <c r="C890" s="16"/>
      <c r="D890" s="16"/>
      <c r="E890" s="16"/>
      <c r="F890" s="9"/>
      <c r="G890" s="16"/>
      <c r="H890" s="9"/>
      <c r="I890" s="16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>
      <c r="A891" s="14"/>
      <c r="B891" s="15"/>
      <c r="C891" s="16"/>
      <c r="D891" s="16"/>
      <c r="E891" s="16"/>
      <c r="F891" s="9"/>
      <c r="G891" s="16"/>
      <c r="H891" s="9"/>
      <c r="I891" s="16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>
      <c r="A892" s="14"/>
      <c r="B892" s="15"/>
      <c r="C892" s="16"/>
      <c r="D892" s="16"/>
      <c r="E892" s="16"/>
      <c r="F892" s="9"/>
      <c r="G892" s="16"/>
      <c r="H892" s="9"/>
      <c r="I892" s="16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>
      <c r="A893" s="14"/>
      <c r="B893" s="15"/>
      <c r="C893" s="16"/>
      <c r="D893" s="16"/>
      <c r="E893" s="16"/>
      <c r="F893" s="9"/>
      <c r="G893" s="16"/>
      <c r="H893" s="9"/>
      <c r="I893" s="16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>
      <c r="A894" s="14"/>
      <c r="B894" s="15"/>
      <c r="C894" s="16"/>
      <c r="D894" s="16"/>
      <c r="E894" s="16"/>
      <c r="F894" s="9"/>
      <c r="G894" s="16"/>
      <c r="H894" s="9"/>
      <c r="I894" s="16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>
      <c r="A895" s="14"/>
      <c r="B895" s="15"/>
      <c r="C895" s="16"/>
      <c r="D895" s="16"/>
      <c r="E895" s="16"/>
      <c r="F895" s="9"/>
      <c r="G895" s="16"/>
      <c r="H895" s="9"/>
      <c r="I895" s="16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>
      <c r="A896" s="14"/>
      <c r="B896" s="15"/>
      <c r="C896" s="16"/>
      <c r="D896" s="16"/>
      <c r="E896" s="16"/>
      <c r="F896" s="9"/>
      <c r="G896" s="16"/>
      <c r="H896" s="9"/>
      <c r="I896" s="16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>
      <c r="A897" s="14"/>
      <c r="B897" s="15"/>
      <c r="C897" s="16"/>
      <c r="D897" s="16"/>
      <c r="E897" s="16"/>
      <c r="F897" s="9"/>
      <c r="G897" s="16"/>
      <c r="H897" s="9"/>
      <c r="I897" s="16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>
      <c r="A898" s="14"/>
      <c r="B898" s="15"/>
      <c r="C898" s="16"/>
      <c r="D898" s="16"/>
      <c r="E898" s="16"/>
      <c r="F898" s="9"/>
      <c r="G898" s="16"/>
      <c r="H898" s="9"/>
      <c r="I898" s="16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>
      <c r="A899" s="14"/>
      <c r="B899" s="15"/>
      <c r="C899" s="16"/>
      <c r="D899" s="16"/>
      <c r="E899" s="16"/>
      <c r="F899" s="9"/>
      <c r="G899" s="16"/>
      <c r="H899" s="9"/>
      <c r="I899" s="16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>
      <c r="A900" s="14"/>
      <c r="B900" s="15"/>
      <c r="C900" s="16"/>
      <c r="D900" s="16"/>
      <c r="E900" s="16"/>
      <c r="F900" s="9"/>
      <c r="G900" s="16"/>
      <c r="H900" s="9"/>
      <c r="I900" s="16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>
      <c r="A901" s="14"/>
      <c r="B901" s="15"/>
      <c r="C901" s="16"/>
      <c r="D901" s="16"/>
      <c r="E901" s="16"/>
      <c r="F901" s="9"/>
      <c r="G901" s="16"/>
      <c r="H901" s="9"/>
      <c r="I901" s="16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>
      <c r="A902" s="14"/>
      <c r="B902" s="15"/>
      <c r="C902" s="16"/>
      <c r="D902" s="16"/>
      <c r="E902" s="16"/>
      <c r="F902" s="9"/>
      <c r="G902" s="16"/>
      <c r="H902" s="9"/>
      <c r="I902" s="16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>
      <c r="A903" s="14"/>
      <c r="B903" s="15"/>
      <c r="C903" s="16"/>
      <c r="D903" s="16"/>
      <c r="E903" s="16"/>
      <c r="F903" s="9"/>
      <c r="G903" s="16"/>
      <c r="H903" s="9"/>
      <c r="I903" s="16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>
      <c r="A904" s="14"/>
      <c r="B904" s="15"/>
      <c r="C904" s="16"/>
      <c r="D904" s="16"/>
      <c r="E904" s="16"/>
      <c r="F904" s="9"/>
      <c r="G904" s="16"/>
      <c r="H904" s="9"/>
      <c r="I904" s="16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>
      <c r="A905" s="14"/>
      <c r="B905" s="15"/>
      <c r="C905" s="16"/>
      <c r="D905" s="16"/>
      <c r="E905" s="16"/>
      <c r="F905" s="9"/>
      <c r="G905" s="16"/>
      <c r="H905" s="9"/>
      <c r="I905" s="16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>
      <c r="A906" s="14"/>
      <c r="B906" s="15"/>
      <c r="C906" s="16"/>
      <c r="D906" s="16"/>
      <c r="E906" s="16"/>
      <c r="F906" s="9"/>
      <c r="G906" s="16"/>
      <c r="H906" s="9"/>
      <c r="I906" s="16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>
      <c r="A907" s="14"/>
      <c r="B907" s="15"/>
      <c r="C907" s="16"/>
      <c r="D907" s="16"/>
      <c r="E907" s="16"/>
      <c r="F907" s="9"/>
      <c r="G907" s="16"/>
      <c r="H907" s="9"/>
      <c r="I907" s="16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>
      <c r="A908" s="14"/>
      <c r="B908" s="15"/>
      <c r="C908" s="16"/>
      <c r="D908" s="16"/>
      <c r="E908" s="16"/>
      <c r="F908" s="9"/>
      <c r="G908" s="16"/>
      <c r="H908" s="9"/>
      <c r="I908" s="16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>
      <c r="A909" s="14"/>
      <c r="B909" s="15"/>
      <c r="C909" s="16"/>
      <c r="D909" s="16"/>
      <c r="E909" s="16"/>
      <c r="F909" s="9"/>
      <c r="G909" s="16"/>
      <c r="H909" s="9"/>
      <c r="I909" s="16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>
      <c r="A910" s="14"/>
      <c r="B910" s="15"/>
      <c r="C910" s="16"/>
      <c r="D910" s="16"/>
      <c r="E910" s="16"/>
      <c r="F910" s="9"/>
      <c r="G910" s="16"/>
      <c r="H910" s="9"/>
      <c r="I910" s="16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>
      <c r="A911" s="14"/>
      <c r="B911" s="15"/>
      <c r="C911" s="16"/>
      <c r="D911" s="16"/>
      <c r="E911" s="16"/>
      <c r="F911" s="9"/>
      <c r="G911" s="16"/>
      <c r="H911" s="9"/>
      <c r="I911" s="16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>
      <c r="A912" s="14"/>
      <c r="B912" s="15"/>
      <c r="C912" s="16"/>
      <c r="D912" s="16"/>
      <c r="E912" s="16"/>
      <c r="F912" s="9"/>
      <c r="G912" s="16"/>
      <c r="H912" s="9"/>
      <c r="I912" s="16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  <row r="913">
      <c r="A913" s="14"/>
      <c r="B913" s="15"/>
      <c r="C913" s="16"/>
      <c r="D913" s="16"/>
      <c r="E913" s="16"/>
      <c r="F913" s="9"/>
      <c r="G913" s="16"/>
      <c r="H913" s="9"/>
      <c r="I913" s="16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</row>
    <row r="914">
      <c r="A914" s="14"/>
      <c r="B914" s="15"/>
      <c r="C914" s="16"/>
      <c r="D914" s="16"/>
      <c r="E914" s="16"/>
      <c r="F914" s="9"/>
      <c r="G914" s="16"/>
      <c r="H914" s="9"/>
      <c r="I914" s="16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</row>
    <row r="915">
      <c r="A915" s="14"/>
      <c r="B915" s="15"/>
      <c r="C915" s="16"/>
      <c r="D915" s="16"/>
      <c r="E915" s="16"/>
      <c r="F915" s="9"/>
      <c r="G915" s="16"/>
      <c r="H915" s="9"/>
      <c r="I915" s="16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</row>
    <row r="916">
      <c r="A916" s="14"/>
      <c r="B916" s="15"/>
      <c r="C916" s="16"/>
      <c r="D916" s="16"/>
      <c r="E916" s="16"/>
      <c r="F916" s="9"/>
      <c r="G916" s="16"/>
      <c r="H916" s="9"/>
      <c r="I916" s="16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</row>
    <row r="917">
      <c r="A917" s="14"/>
      <c r="B917" s="15"/>
      <c r="C917" s="16"/>
      <c r="D917" s="16"/>
      <c r="E917" s="16"/>
      <c r="F917" s="9"/>
      <c r="G917" s="16"/>
      <c r="H917" s="9"/>
      <c r="I917" s="16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</row>
    <row r="918">
      <c r="A918" s="14"/>
      <c r="B918" s="15"/>
      <c r="C918" s="16"/>
      <c r="D918" s="16"/>
      <c r="E918" s="16"/>
      <c r="F918" s="9"/>
      <c r="G918" s="16"/>
      <c r="H918" s="9"/>
      <c r="I918" s="16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</row>
    <row r="919">
      <c r="A919" s="14"/>
      <c r="B919" s="15"/>
      <c r="C919" s="16"/>
      <c r="D919" s="16"/>
      <c r="E919" s="16"/>
      <c r="F919" s="9"/>
      <c r="G919" s="16"/>
      <c r="H919" s="9"/>
      <c r="I919" s="16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</row>
    <row r="920">
      <c r="A920" s="14"/>
      <c r="B920" s="15"/>
      <c r="C920" s="16"/>
      <c r="D920" s="16"/>
      <c r="E920" s="16"/>
      <c r="F920" s="9"/>
      <c r="G920" s="16"/>
      <c r="H920" s="9"/>
      <c r="I920" s="16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</row>
    <row r="921">
      <c r="A921" s="14"/>
      <c r="B921" s="15"/>
      <c r="C921" s="16"/>
      <c r="D921" s="16"/>
      <c r="E921" s="16"/>
      <c r="F921" s="9"/>
      <c r="G921" s="16"/>
      <c r="H921" s="9"/>
      <c r="I921" s="16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</row>
    <row r="922">
      <c r="A922" s="14"/>
      <c r="B922" s="15"/>
      <c r="C922" s="16"/>
      <c r="D922" s="16"/>
      <c r="E922" s="16"/>
      <c r="F922" s="9"/>
      <c r="G922" s="16"/>
      <c r="H922" s="9"/>
      <c r="I922" s="16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</row>
    <row r="923">
      <c r="A923" s="14"/>
      <c r="B923" s="15"/>
      <c r="C923" s="16"/>
      <c r="D923" s="16"/>
      <c r="E923" s="16"/>
      <c r="F923" s="9"/>
      <c r="G923" s="16"/>
      <c r="H923" s="9"/>
      <c r="I923" s="16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r="924">
      <c r="A924" s="14"/>
      <c r="B924" s="15"/>
      <c r="C924" s="16"/>
      <c r="D924" s="16"/>
      <c r="E924" s="16"/>
      <c r="F924" s="9"/>
      <c r="G924" s="16"/>
      <c r="H924" s="9"/>
      <c r="I924" s="16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</row>
    <row r="925">
      <c r="A925" s="14"/>
      <c r="B925" s="15"/>
      <c r="C925" s="16"/>
      <c r="D925" s="16"/>
      <c r="E925" s="16"/>
      <c r="F925" s="9"/>
      <c r="G925" s="16"/>
      <c r="H925" s="9"/>
      <c r="I925" s="16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</row>
    <row r="926">
      <c r="A926" s="14"/>
      <c r="B926" s="15"/>
      <c r="C926" s="16"/>
      <c r="D926" s="16"/>
      <c r="E926" s="16"/>
      <c r="F926" s="9"/>
      <c r="G926" s="16"/>
      <c r="H926" s="9"/>
      <c r="I926" s="16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</row>
    <row r="927">
      <c r="A927" s="14"/>
      <c r="B927" s="15"/>
      <c r="C927" s="16"/>
      <c r="D927" s="16"/>
      <c r="E927" s="16"/>
      <c r="F927" s="9"/>
      <c r="G927" s="16"/>
      <c r="H927" s="9"/>
      <c r="I927" s="16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</row>
    <row r="928">
      <c r="A928" s="14"/>
      <c r="B928" s="15"/>
      <c r="C928" s="16"/>
      <c r="D928" s="16"/>
      <c r="E928" s="16"/>
      <c r="F928" s="9"/>
      <c r="G928" s="16"/>
      <c r="H928" s="9"/>
      <c r="I928" s="16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</row>
    <row r="929">
      <c r="A929" s="14"/>
      <c r="B929" s="15"/>
      <c r="C929" s="16"/>
      <c r="D929" s="16"/>
      <c r="E929" s="16"/>
      <c r="F929" s="9"/>
      <c r="G929" s="16"/>
      <c r="H929" s="9"/>
      <c r="I929" s="16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</row>
    <row r="930">
      <c r="A930" s="14"/>
      <c r="B930" s="15"/>
      <c r="C930" s="16"/>
      <c r="D930" s="16"/>
      <c r="E930" s="16"/>
      <c r="F930" s="9"/>
      <c r="G930" s="16"/>
      <c r="H930" s="9"/>
      <c r="I930" s="16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r="931">
      <c r="A931" s="14"/>
      <c r="B931" s="15"/>
      <c r="C931" s="16"/>
      <c r="D931" s="16"/>
      <c r="E931" s="16"/>
      <c r="F931" s="9"/>
      <c r="G931" s="16"/>
      <c r="H931" s="9"/>
      <c r="I931" s="16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</row>
    <row r="932">
      <c r="A932" s="14"/>
      <c r="B932" s="15"/>
      <c r="C932" s="16"/>
      <c r="D932" s="16"/>
      <c r="E932" s="16"/>
      <c r="F932" s="9"/>
      <c r="G932" s="16"/>
      <c r="H932" s="9"/>
      <c r="I932" s="16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</row>
    <row r="933">
      <c r="A933" s="14"/>
      <c r="B933" s="15"/>
      <c r="C933" s="16"/>
      <c r="D933" s="16"/>
      <c r="E933" s="16"/>
      <c r="F933" s="9"/>
      <c r="G933" s="16"/>
      <c r="H933" s="9"/>
      <c r="I933" s="16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</row>
    <row r="934">
      <c r="A934" s="14"/>
      <c r="B934" s="15"/>
      <c r="C934" s="16"/>
      <c r="D934" s="16"/>
      <c r="E934" s="16"/>
      <c r="F934" s="9"/>
      <c r="G934" s="16"/>
      <c r="H934" s="9"/>
      <c r="I934" s="16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</row>
    <row r="935">
      <c r="A935" s="14"/>
      <c r="B935" s="15"/>
      <c r="C935" s="16"/>
      <c r="D935" s="16"/>
      <c r="E935" s="16"/>
      <c r="F935" s="9"/>
      <c r="G935" s="16"/>
      <c r="H935" s="9"/>
      <c r="I935" s="16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</row>
    <row r="936">
      <c r="A936" s="14"/>
      <c r="B936" s="15"/>
      <c r="C936" s="16"/>
      <c r="D936" s="16"/>
      <c r="E936" s="16"/>
      <c r="F936" s="9"/>
      <c r="G936" s="16"/>
      <c r="H936" s="9"/>
      <c r="I936" s="16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</row>
    <row r="937">
      <c r="A937" s="14"/>
      <c r="B937" s="15"/>
      <c r="C937" s="16"/>
      <c r="D937" s="16"/>
      <c r="E937" s="16"/>
      <c r="F937" s="9"/>
      <c r="G937" s="16"/>
      <c r="H937" s="9"/>
      <c r="I937" s="16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</row>
    <row r="938">
      <c r="A938" s="14"/>
      <c r="B938" s="15"/>
      <c r="C938" s="16"/>
      <c r="D938" s="16"/>
      <c r="E938" s="16"/>
      <c r="F938" s="9"/>
      <c r="G938" s="16"/>
      <c r="H938" s="9"/>
      <c r="I938" s="16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</row>
    <row r="939">
      <c r="A939" s="14"/>
      <c r="B939" s="15"/>
      <c r="C939" s="16"/>
      <c r="D939" s="16"/>
      <c r="E939" s="16"/>
      <c r="F939" s="9"/>
      <c r="G939" s="16"/>
      <c r="H939" s="9"/>
      <c r="I939" s="16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</row>
    <row r="940">
      <c r="A940" s="14"/>
      <c r="B940" s="15"/>
      <c r="C940" s="16"/>
      <c r="D940" s="16"/>
      <c r="E940" s="16"/>
      <c r="F940" s="9"/>
      <c r="G940" s="16"/>
      <c r="H940" s="9"/>
      <c r="I940" s="16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</row>
    <row r="941">
      <c r="A941" s="14"/>
      <c r="B941" s="15"/>
      <c r="C941" s="16"/>
      <c r="D941" s="16"/>
      <c r="E941" s="16"/>
      <c r="F941" s="9"/>
      <c r="G941" s="16"/>
      <c r="H941" s="9"/>
      <c r="I941" s="16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</row>
    <row r="942">
      <c r="A942" s="14"/>
      <c r="B942" s="15"/>
      <c r="C942" s="16"/>
      <c r="D942" s="16"/>
      <c r="E942" s="16"/>
      <c r="F942" s="9"/>
      <c r="G942" s="16"/>
      <c r="H942" s="9"/>
      <c r="I942" s="16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</row>
    <row r="943">
      <c r="A943" s="14"/>
      <c r="B943" s="15"/>
      <c r="C943" s="16"/>
      <c r="D943" s="16"/>
      <c r="E943" s="16"/>
      <c r="F943" s="9"/>
      <c r="G943" s="16"/>
      <c r="H943" s="9"/>
      <c r="I943" s="16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</row>
    <row r="944">
      <c r="A944" s="14"/>
      <c r="B944" s="15"/>
      <c r="C944" s="16"/>
      <c r="D944" s="16"/>
      <c r="E944" s="16"/>
      <c r="F944" s="9"/>
      <c r="G944" s="16"/>
      <c r="H944" s="9"/>
      <c r="I944" s="16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</row>
    <row r="945">
      <c r="A945" s="14"/>
      <c r="B945" s="15"/>
      <c r="C945" s="16"/>
      <c r="D945" s="16"/>
      <c r="E945" s="16"/>
      <c r="F945" s="9"/>
      <c r="G945" s="16"/>
      <c r="H945" s="9"/>
      <c r="I945" s="16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</row>
    <row r="946">
      <c r="A946" s="14"/>
      <c r="B946" s="15"/>
      <c r="C946" s="16"/>
      <c r="D946" s="16"/>
      <c r="E946" s="16"/>
      <c r="F946" s="9"/>
      <c r="G946" s="16"/>
      <c r="H946" s="9"/>
      <c r="I946" s="16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</row>
    <row r="947">
      <c r="A947" s="14"/>
      <c r="B947" s="15"/>
      <c r="C947" s="16"/>
      <c r="D947" s="16"/>
      <c r="E947" s="16"/>
      <c r="F947" s="9"/>
      <c r="G947" s="16"/>
      <c r="H947" s="9"/>
      <c r="I947" s="16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</row>
    <row r="948">
      <c r="A948" s="14"/>
      <c r="B948" s="15"/>
      <c r="C948" s="16"/>
      <c r="D948" s="16"/>
      <c r="E948" s="16"/>
      <c r="F948" s="9"/>
      <c r="G948" s="16"/>
      <c r="H948" s="9"/>
      <c r="I948" s="16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r="949">
      <c r="A949" s="14"/>
      <c r="B949" s="15"/>
      <c r="C949" s="16"/>
      <c r="D949" s="16"/>
      <c r="E949" s="16"/>
      <c r="F949" s="9"/>
      <c r="G949" s="16"/>
      <c r="H949" s="9"/>
      <c r="I949" s="16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</row>
    <row r="950">
      <c r="A950" s="14"/>
      <c r="B950" s="15"/>
      <c r="C950" s="16"/>
      <c r="D950" s="16"/>
      <c r="E950" s="16"/>
      <c r="F950" s="9"/>
      <c r="G950" s="16"/>
      <c r="H950" s="9"/>
      <c r="I950" s="16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</row>
    <row r="951">
      <c r="A951" s="14"/>
      <c r="B951" s="15"/>
      <c r="C951" s="16"/>
      <c r="D951" s="16"/>
      <c r="E951" s="16"/>
      <c r="F951" s="9"/>
      <c r="G951" s="16"/>
      <c r="H951" s="9"/>
      <c r="I951" s="16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</row>
    <row r="952">
      <c r="A952" s="14"/>
      <c r="B952" s="15"/>
      <c r="C952" s="16"/>
      <c r="D952" s="16"/>
      <c r="E952" s="16"/>
      <c r="F952" s="9"/>
      <c r="G952" s="16"/>
      <c r="H952" s="9"/>
      <c r="I952" s="16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</row>
    <row r="953">
      <c r="A953" s="14"/>
      <c r="B953" s="15"/>
      <c r="C953" s="16"/>
      <c r="D953" s="16"/>
      <c r="E953" s="16"/>
      <c r="F953" s="9"/>
      <c r="G953" s="16"/>
      <c r="H953" s="9"/>
      <c r="I953" s="16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</row>
    <row r="954">
      <c r="A954" s="14"/>
      <c r="B954" s="15"/>
      <c r="C954" s="16"/>
      <c r="D954" s="16"/>
      <c r="E954" s="16"/>
      <c r="F954" s="9"/>
      <c r="G954" s="16"/>
      <c r="H954" s="9"/>
      <c r="I954" s="16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</row>
    <row r="955">
      <c r="A955" s="14"/>
      <c r="B955" s="15"/>
      <c r="C955" s="16"/>
      <c r="D955" s="16"/>
      <c r="E955" s="16"/>
      <c r="F955" s="9"/>
      <c r="G955" s="16"/>
      <c r="H955" s="9"/>
      <c r="I955" s="16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r="956">
      <c r="A956" s="14"/>
      <c r="B956" s="15"/>
      <c r="C956" s="16"/>
      <c r="D956" s="16"/>
      <c r="E956" s="16"/>
      <c r="F956" s="9"/>
      <c r="G956" s="16"/>
      <c r="H956" s="9"/>
      <c r="I956" s="16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</row>
    <row r="957">
      <c r="A957" s="14"/>
      <c r="B957" s="15"/>
      <c r="C957" s="16"/>
      <c r="D957" s="16"/>
      <c r="E957" s="16"/>
      <c r="F957" s="9"/>
      <c r="G957" s="16"/>
      <c r="H957" s="9"/>
      <c r="I957" s="16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</row>
    <row r="958">
      <c r="A958" s="14"/>
      <c r="B958" s="15"/>
      <c r="C958" s="16"/>
      <c r="D958" s="16"/>
      <c r="E958" s="16"/>
      <c r="F958" s="9"/>
      <c r="G958" s="16"/>
      <c r="H958" s="9"/>
      <c r="I958" s="16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</row>
    <row r="959">
      <c r="A959" s="14"/>
      <c r="B959" s="15"/>
      <c r="C959" s="16"/>
      <c r="D959" s="16"/>
      <c r="E959" s="16"/>
      <c r="F959" s="9"/>
      <c r="G959" s="16"/>
      <c r="H959" s="9"/>
      <c r="I959" s="16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</row>
    <row r="960">
      <c r="A960" s="14"/>
      <c r="B960" s="15"/>
      <c r="C960" s="16"/>
      <c r="D960" s="16"/>
      <c r="E960" s="16"/>
      <c r="F960" s="9"/>
      <c r="G960" s="16"/>
      <c r="H960" s="9"/>
      <c r="I960" s="16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</row>
    <row r="961">
      <c r="A961" s="14"/>
      <c r="B961" s="15"/>
      <c r="C961" s="16"/>
      <c r="D961" s="16"/>
      <c r="E961" s="16"/>
      <c r="F961" s="9"/>
      <c r="G961" s="16"/>
      <c r="H961" s="9"/>
      <c r="I961" s="16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r="962">
      <c r="A962" s="14"/>
      <c r="B962" s="15"/>
      <c r="C962" s="16"/>
      <c r="D962" s="16"/>
      <c r="E962" s="16"/>
      <c r="F962" s="9"/>
      <c r="G962" s="16"/>
      <c r="H962" s="9"/>
      <c r="I962" s="16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</row>
    <row r="963">
      <c r="A963" s="14"/>
      <c r="B963" s="15"/>
      <c r="C963" s="16"/>
      <c r="D963" s="16"/>
      <c r="E963" s="16"/>
      <c r="F963" s="9"/>
      <c r="G963" s="16"/>
      <c r="H963" s="9"/>
      <c r="I963" s="16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r="964">
      <c r="A964" s="14"/>
      <c r="B964" s="15"/>
      <c r="C964" s="16"/>
      <c r="D964" s="16"/>
      <c r="E964" s="16"/>
      <c r="F964" s="9"/>
      <c r="G964" s="16"/>
      <c r="H964" s="9"/>
      <c r="I964" s="16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r="965">
      <c r="A965" s="14"/>
      <c r="B965" s="15"/>
      <c r="C965" s="16"/>
      <c r="D965" s="16"/>
      <c r="E965" s="16"/>
      <c r="F965" s="9"/>
      <c r="G965" s="16"/>
      <c r="H965" s="9"/>
      <c r="I965" s="16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</row>
    <row r="966">
      <c r="A966" s="14"/>
      <c r="B966" s="15"/>
      <c r="C966" s="16"/>
      <c r="D966" s="16"/>
      <c r="E966" s="16"/>
      <c r="F966" s="9"/>
      <c r="G966" s="16"/>
      <c r="H966" s="9"/>
      <c r="I966" s="16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</row>
    <row r="967">
      <c r="A967" s="14"/>
      <c r="B967" s="15"/>
      <c r="C967" s="16"/>
      <c r="D967" s="16"/>
      <c r="E967" s="16"/>
      <c r="F967" s="9"/>
      <c r="G967" s="16"/>
      <c r="H967" s="9"/>
      <c r="I967" s="16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</row>
    <row r="968">
      <c r="A968" s="14"/>
      <c r="B968" s="15"/>
      <c r="C968" s="16"/>
      <c r="D968" s="16"/>
      <c r="E968" s="16"/>
      <c r="F968" s="9"/>
      <c r="G968" s="16"/>
      <c r="H968" s="9"/>
      <c r="I968" s="16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</row>
    <row r="969">
      <c r="A969" s="14"/>
      <c r="B969" s="15"/>
      <c r="C969" s="16"/>
      <c r="D969" s="16"/>
      <c r="E969" s="16"/>
      <c r="F969" s="9"/>
      <c r="G969" s="16"/>
      <c r="H969" s="9"/>
      <c r="I969" s="16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</row>
    <row r="970">
      <c r="A970" s="14"/>
      <c r="B970" s="15"/>
      <c r="C970" s="16"/>
      <c r="D970" s="16"/>
      <c r="E970" s="16"/>
      <c r="F970" s="9"/>
      <c r="G970" s="16"/>
      <c r="H970" s="9"/>
      <c r="I970" s="16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</row>
    <row r="971">
      <c r="A971" s="14"/>
      <c r="B971" s="15"/>
      <c r="C971" s="16"/>
      <c r="D971" s="16"/>
      <c r="E971" s="16"/>
      <c r="F971" s="9"/>
      <c r="G971" s="16"/>
      <c r="H971" s="9"/>
      <c r="I971" s="16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</row>
    <row r="972">
      <c r="A972" s="14"/>
      <c r="B972" s="15"/>
      <c r="C972" s="16"/>
      <c r="D972" s="16"/>
      <c r="E972" s="16"/>
      <c r="F972" s="9"/>
      <c r="G972" s="16"/>
      <c r="H972" s="9"/>
      <c r="I972" s="16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</row>
    <row r="973">
      <c r="A973" s="14"/>
      <c r="B973" s="15"/>
      <c r="C973" s="16"/>
      <c r="D973" s="16"/>
      <c r="E973" s="16"/>
      <c r="F973" s="9"/>
      <c r="G973" s="16"/>
      <c r="H973" s="9"/>
      <c r="I973" s="16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</row>
    <row r="974">
      <c r="A974" s="14"/>
      <c r="B974" s="15"/>
      <c r="C974" s="16"/>
      <c r="D974" s="16"/>
      <c r="E974" s="16"/>
      <c r="F974" s="9"/>
      <c r="G974" s="16"/>
      <c r="H974" s="9"/>
      <c r="I974" s="16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</row>
    <row r="975">
      <c r="A975" s="14"/>
      <c r="B975" s="15"/>
      <c r="C975" s="16"/>
      <c r="D975" s="16"/>
      <c r="E975" s="16"/>
      <c r="F975" s="9"/>
      <c r="G975" s="16"/>
      <c r="H975" s="9"/>
      <c r="I975" s="16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</row>
    <row r="976">
      <c r="A976" s="14"/>
      <c r="B976" s="15"/>
      <c r="C976" s="16"/>
      <c r="D976" s="16"/>
      <c r="E976" s="16"/>
      <c r="F976" s="9"/>
      <c r="G976" s="16"/>
      <c r="H976" s="9"/>
      <c r="I976" s="16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</row>
    <row r="977">
      <c r="A977" s="14"/>
      <c r="B977" s="15"/>
      <c r="C977" s="16"/>
      <c r="D977" s="16"/>
      <c r="E977" s="16"/>
      <c r="F977" s="9"/>
      <c r="G977" s="16"/>
      <c r="H977" s="9"/>
      <c r="I977" s="16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</row>
    <row r="978">
      <c r="A978" s="14"/>
      <c r="B978" s="15"/>
      <c r="C978" s="16"/>
      <c r="D978" s="16"/>
      <c r="E978" s="16"/>
      <c r="F978" s="9"/>
      <c r="G978" s="16"/>
      <c r="H978" s="9"/>
      <c r="I978" s="16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</row>
    <row r="979">
      <c r="A979" s="14"/>
      <c r="B979" s="15"/>
      <c r="C979" s="16"/>
      <c r="D979" s="16"/>
      <c r="E979" s="16"/>
      <c r="F979" s="9"/>
      <c r="G979" s="16"/>
      <c r="H979" s="9"/>
      <c r="I979" s="16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</row>
    <row r="980">
      <c r="A980" s="14"/>
      <c r="B980" s="15"/>
      <c r="C980" s="16"/>
      <c r="D980" s="16"/>
      <c r="E980" s="16"/>
      <c r="F980" s="9"/>
      <c r="G980" s="16"/>
      <c r="H980" s="9"/>
      <c r="I980" s="16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</row>
    <row r="981">
      <c r="A981" s="14"/>
      <c r="B981" s="15"/>
      <c r="C981" s="16"/>
      <c r="D981" s="16"/>
      <c r="E981" s="16"/>
      <c r="F981" s="9"/>
      <c r="G981" s="16"/>
      <c r="H981" s="9"/>
      <c r="I981" s="16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</row>
    <row r="982">
      <c r="A982" s="14"/>
      <c r="B982" s="15"/>
      <c r="C982" s="16"/>
      <c r="D982" s="16"/>
      <c r="E982" s="16"/>
      <c r="F982" s="9"/>
      <c r="G982" s="16"/>
      <c r="H982" s="9"/>
      <c r="I982" s="16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</row>
    <row r="983">
      <c r="A983" s="14"/>
      <c r="B983" s="15"/>
      <c r="C983" s="16"/>
      <c r="D983" s="16"/>
      <c r="E983" s="16"/>
      <c r="F983" s="9"/>
      <c r="G983" s="16"/>
      <c r="H983" s="9"/>
      <c r="I983" s="16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</row>
    <row r="984">
      <c r="A984" s="14"/>
      <c r="B984" s="15"/>
      <c r="C984" s="16"/>
      <c r="D984" s="16"/>
      <c r="E984" s="16"/>
      <c r="F984" s="9"/>
      <c r="G984" s="16"/>
      <c r="H984" s="9"/>
      <c r="I984" s="16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</row>
    <row r="985">
      <c r="A985" s="14"/>
      <c r="B985" s="15"/>
      <c r="C985" s="16"/>
      <c r="D985" s="16"/>
      <c r="E985" s="16"/>
      <c r="F985" s="9"/>
      <c r="G985" s="16"/>
      <c r="H985" s="9"/>
      <c r="I985" s="16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</row>
    <row r="986">
      <c r="A986" s="14"/>
      <c r="B986" s="15"/>
      <c r="C986" s="16"/>
      <c r="D986" s="16"/>
      <c r="E986" s="16"/>
      <c r="F986" s="9"/>
      <c r="G986" s="16"/>
      <c r="H986" s="9"/>
      <c r="I986" s="16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</row>
    <row r="987">
      <c r="A987" s="14"/>
      <c r="B987" s="15"/>
      <c r="C987" s="16"/>
      <c r="D987" s="16"/>
      <c r="E987" s="16"/>
      <c r="F987" s="9"/>
      <c r="G987" s="16"/>
      <c r="H987" s="9"/>
      <c r="I987" s="16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</row>
    <row r="988">
      <c r="A988" s="14"/>
      <c r="B988" s="15"/>
      <c r="C988" s="16"/>
      <c r="D988" s="16"/>
      <c r="E988" s="16"/>
      <c r="F988" s="9"/>
      <c r="G988" s="16"/>
      <c r="H988" s="9"/>
      <c r="I988" s="16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</row>
    <row r="989">
      <c r="A989" s="14"/>
      <c r="B989" s="15"/>
      <c r="C989" s="16"/>
      <c r="D989" s="16"/>
      <c r="E989" s="16"/>
      <c r="F989" s="9"/>
      <c r="G989" s="16"/>
      <c r="H989" s="9"/>
      <c r="I989" s="16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</row>
    <row r="990">
      <c r="A990" s="14"/>
      <c r="B990" s="15"/>
      <c r="C990" s="16"/>
      <c r="D990" s="16"/>
      <c r="E990" s="16"/>
      <c r="F990" s="9"/>
      <c r="G990" s="16"/>
      <c r="H990" s="9"/>
      <c r="I990" s="16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</row>
    <row r="991">
      <c r="A991" s="14"/>
      <c r="B991" s="15"/>
      <c r="C991" s="16"/>
      <c r="D991" s="16"/>
      <c r="E991" s="16"/>
      <c r="F991" s="9"/>
      <c r="G991" s="16"/>
      <c r="H991" s="9"/>
      <c r="I991" s="16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</row>
    <row r="992">
      <c r="A992" s="14"/>
      <c r="B992" s="15"/>
      <c r="C992" s="16"/>
      <c r="D992" s="16"/>
      <c r="E992" s="16"/>
      <c r="F992" s="9"/>
      <c r="G992" s="16"/>
      <c r="H992" s="9"/>
      <c r="I992" s="16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</row>
    <row r="993">
      <c r="A993" s="14"/>
      <c r="B993" s="15"/>
      <c r="C993" s="16"/>
      <c r="D993" s="16"/>
      <c r="E993" s="16"/>
      <c r="F993" s="9"/>
      <c r="G993" s="16"/>
      <c r="H993" s="9"/>
      <c r="I993" s="16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</row>
    <row r="994">
      <c r="A994" s="14"/>
      <c r="B994" s="15"/>
      <c r="C994" s="16"/>
      <c r="D994" s="16"/>
      <c r="E994" s="16"/>
      <c r="F994" s="9"/>
      <c r="G994" s="16"/>
      <c r="H994" s="9"/>
      <c r="I994" s="16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</row>
    <row r="995">
      <c r="A995" s="14"/>
      <c r="B995" s="15"/>
      <c r="C995" s="16"/>
      <c r="D995" s="16"/>
      <c r="E995" s="16"/>
      <c r="F995" s="9"/>
      <c r="G995" s="16"/>
      <c r="H995" s="9"/>
      <c r="I995" s="16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</row>
    <row r="996">
      <c r="A996" s="14"/>
      <c r="B996" s="15"/>
      <c r="C996" s="16"/>
      <c r="D996" s="16"/>
      <c r="E996" s="16"/>
      <c r="F996" s="9"/>
      <c r="G996" s="16"/>
      <c r="H996" s="9"/>
      <c r="I996" s="16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</row>
    <row r="997">
      <c r="A997" s="14"/>
      <c r="B997" s="15"/>
      <c r="C997" s="16"/>
      <c r="D997" s="16"/>
      <c r="E997" s="16"/>
      <c r="F997" s="9"/>
      <c r="G997" s="16"/>
      <c r="H997" s="9"/>
      <c r="I997" s="16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</row>
    <row r="998">
      <c r="A998" s="14"/>
      <c r="B998" s="15"/>
      <c r="C998" s="16"/>
      <c r="D998" s="16"/>
      <c r="E998" s="16"/>
      <c r="F998" s="9"/>
      <c r="G998" s="16"/>
      <c r="H998" s="9"/>
      <c r="I998" s="16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</row>
    <row r="999">
      <c r="A999" s="14"/>
      <c r="B999" s="15"/>
      <c r="C999" s="16"/>
      <c r="D999" s="16"/>
      <c r="E999" s="16"/>
      <c r="F999" s="9"/>
      <c r="G999" s="16"/>
      <c r="H999" s="9"/>
      <c r="I999" s="16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</row>
    <row r="1000">
      <c r="A1000" s="14"/>
      <c r="B1000" s="15"/>
      <c r="C1000" s="16"/>
      <c r="D1000" s="16"/>
      <c r="E1000" s="16"/>
      <c r="F1000" s="9"/>
      <c r="G1000" s="16"/>
      <c r="H1000" s="9"/>
      <c r="I1000" s="16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</row>
    <row r="1001">
      <c r="A1001" s="14"/>
      <c r="B1001" s="15"/>
      <c r="C1001" s="16"/>
      <c r="D1001" s="16"/>
      <c r="E1001" s="16"/>
      <c r="F1001" s="9"/>
      <c r="G1001" s="16"/>
      <c r="H1001" s="9"/>
      <c r="I1001" s="16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</row>
    <row r="1002">
      <c r="A1002" s="14"/>
      <c r="B1002" s="15"/>
      <c r="C1002" s="16"/>
      <c r="D1002" s="16"/>
      <c r="E1002" s="16"/>
      <c r="F1002" s="9"/>
      <c r="G1002" s="16"/>
      <c r="H1002" s="9"/>
      <c r="I1002" s="16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</row>
    <row r="1003">
      <c r="A1003" s="14"/>
      <c r="B1003" s="15"/>
      <c r="C1003" s="16"/>
      <c r="D1003" s="16"/>
      <c r="E1003" s="16"/>
      <c r="F1003" s="9"/>
      <c r="G1003" s="16"/>
      <c r="H1003" s="9"/>
      <c r="I1003" s="16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</row>
    <row r="1004">
      <c r="A1004" s="14"/>
      <c r="B1004" s="15"/>
      <c r="C1004" s="16"/>
      <c r="D1004" s="16"/>
      <c r="E1004" s="16"/>
      <c r="F1004" s="9"/>
      <c r="G1004" s="16"/>
      <c r="H1004" s="9"/>
      <c r="I1004" s="16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</row>
    <row r="1005">
      <c r="A1005" s="14"/>
      <c r="B1005" s="15"/>
      <c r="C1005" s="16"/>
      <c r="D1005" s="16"/>
      <c r="E1005" s="16"/>
      <c r="F1005" s="9"/>
      <c r="G1005" s="16"/>
      <c r="H1005" s="9"/>
      <c r="I1005" s="16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</row>
    <row r="1006">
      <c r="A1006" s="14"/>
      <c r="B1006" s="15"/>
      <c r="C1006" s="16"/>
      <c r="D1006" s="16"/>
      <c r="E1006" s="16"/>
      <c r="F1006" s="9"/>
      <c r="G1006" s="16"/>
      <c r="H1006" s="9"/>
      <c r="I1006" s="16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</row>
    <row r="1007">
      <c r="A1007" s="14"/>
      <c r="B1007" s="15"/>
      <c r="C1007" s="16"/>
      <c r="D1007" s="16"/>
      <c r="E1007" s="16"/>
      <c r="F1007" s="9"/>
      <c r="G1007" s="16"/>
      <c r="H1007" s="9"/>
      <c r="I1007" s="16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</row>
    <row r="1008">
      <c r="A1008" s="14"/>
      <c r="B1008" s="15"/>
      <c r="C1008" s="16"/>
      <c r="D1008" s="16"/>
      <c r="E1008" s="16"/>
      <c r="F1008" s="9"/>
      <c r="G1008" s="16"/>
      <c r="H1008" s="9"/>
      <c r="I1008" s="16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</row>
    <row r="1009">
      <c r="A1009" s="14"/>
      <c r="B1009" s="15"/>
      <c r="C1009" s="16"/>
      <c r="D1009" s="16"/>
      <c r="E1009" s="16"/>
      <c r="F1009" s="9"/>
      <c r="G1009" s="16"/>
      <c r="H1009" s="9"/>
      <c r="I1009" s="16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</row>
    <row r="1010">
      <c r="A1010" s="14"/>
      <c r="B1010" s="15"/>
      <c r="C1010" s="16"/>
      <c r="D1010" s="16"/>
      <c r="E1010" s="16"/>
      <c r="F1010" s="9"/>
      <c r="G1010" s="16"/>
      <c r="H1010" s="9"/>
      <c r="I1010" s="16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</row>
    <row r="1011">
      <c r="A1011" s="14"/>
      <c r="B1011" s="15"/>
      <c r="C1011" s="16"/>
      <c r="D1011" s="16"/>
      <c r="E1011" s="16"/>
      <c r="F1011" s="9"/>
      <c r="G1011" s="16"/>
      <c r="H1011" s="9"/>
      <c r="I1011" s="16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</row>
    <row r="1012">
      <c r="A1012" s="14"/>
      <c r="B1012" s="15"/>
      <c r="C1012" s="16"/>
      <c r="D1012" s="16"/>
      <c r="E1012" s="16"/>
      <c r="F1012" s="9"/>
      <c r="G1012" s="16"/>
      <c r="H1012" s="9"/>
      <c r="I1012" s="16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</row>
    <row r="1013">
      <c r="A1013" s="14"/>
      <c r="B1013" s="15"/>
      <c r="C1013" s="16"/>
      <c r="D1013" s="16"/>
      <c r="E1013" s="16"/>
      <c r="F1013" s="9"/>
      <c r="G1013" s="16"/>
      <c r="H1013" s="9"/>
      <c r="I1013" s="16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</row>
    <row r="1014">
      <c r="A1014" s="14"/>
      <c r="B1014" s="15"/>
      <c r="C1014" s="16"/>
      <c r="D1014" s="16"/>
      <c r="E1014" s="16"/>
      <c r="F1014" s="9"/>
      <c r="G1014" s="16"/>
      <c r="H1014" s="9"/>
      <c r="I1014" s="16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</row>
    <row r="1015">
      <c r="A1015" s="14"/>
      <c r="B1015" s="15"/>
      <c r="C1015" s="16"/>
      <c r="D1015" s="16"/>
      <c r="E1015" s="16"/>
      <c r="F1015" s="9"/>
      <c r="G1015" s="16"/>
      <c r="H1015" s="9"/>
      <c r="I1015" s="16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</row>
    <row r="1016">
      <c r="A1016" s="14"/>
      <c r="B1016" s="15"/>
      <c r="C1016" s="16"/>
      <c r="D1016" s="16"/>
      <c r="E1016" s="16"/>
      <c r="F1016" s="9"/>
      <c r="G1016" s="16"/>
      <c r="H1016" s="9"/>
      <c r="I1016" s="16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</row>
    <row r="1017">
      <c r="A1017" s="14"/>
      <c r="B1017" s="15"/>
      <c r="C1017" s="16"/>
      <c r="D1017" s="16"/>
      <c r="E1017" s="16"/>
      <c r="F1017" s="9"/>
      <c r="G1017" s="16"/>
      <c r="H1017" s="9"/>
      <c r="I1017" s="16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</row>
    <row r="1018">
      <c r="A1018" s="14"/>
      <c r="B1018" s="15"/>
      <c r="C1018" s="16"/>
      <c r="D1018" s="16"/>
      <c r="E1018" s="16"/>
      <c r="F1018" s="9"/>
      <c r="G1018" s="16"/>
      <c r="H1018" s="9"/>
      <c r="I1018" s="16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</row>
    <row r="1019">
      <c r="A1019" s="14"/>
      <c r="B1019" s="15"/>
      <c r="C1019" s="16"/>
      <c r="D1019" s="16"/>
      <c r="E1019" s="16"/>
      <c r="F1019" s="9"/>
      <c r="G1019" s="16"/>
      <c r="H1019" s="9"/>
      <c r="I1019" s="16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</row>
    <row r="1020">
      <c r="A1020" s="14"/>
      <c r="B1020" s="15"/>
      <c r="C1020" s="16"/>
      <c r="D1020" s="16"/>
      <c r="E1020" s="16"/>
      <c r="F1020" s="9"/>
      <c r="G1020" s="16"/>
      <c r="H1020" s="9"/>
      <c r="I1020" s="16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</row>
    <row r="1021">
      <c r="A1021" s="14"/>
      <c r="B1021" s="15"/>
      <c r="C1021" s="16"/>
      <c r="D1021" s="16"/>
      <c r="E1021" s="16"/>
      <c r="F1021" s="9"/>
      <c r="G1021" s="16"/>
      <c r="H1021" s="9"/>
      <c r="I1021" s="16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</row>
    <row r="1022">
      <c r="A1022" s="14"/>
      <c r="B1022" s="15"/>
      <c r="C1022" s="16"/>
      <c r="D1022" s="16"/>
      <c r="E1022" s="16"/>
      <c r="F1022" s="9"/>
      <c r="G1022" s="16"/>
      <c r="H1022" s="9"/>
      <c r="I1022" s="16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</row>
    <row r="1023">
      <c r="A1023" s="14"/>
      <c r="B1023" s="15"/>
      <c r="C1023" s="16"/>
      <c r="D1023" s="16"/>
      <c r="E1023" s="16"/>
      <c r="F1023" s="9"/>
      <c r="G1023" s="16"/>
      <c r="H1023" s="9"/>
      <c r="I1023" s="16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</row>
    <row r="1024">
      <c r="A1024" s="14"/>
      <c r="B1024" s="15"/>
      <c r="C1024" s="16"/>
      <c r="D1024" s="16"/>
      <c r="E1024" s="16"/>
      <c r="F1024" s="9"/>
      <c r="G1024" s="16"/>
      <c r="H1024" s="9"/>
      <c r="I1024" s="16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</row>
    <row r="1025">
      <c r="A1025" s="14"/>
      <c r="B1025" s="15"/>
      <c r="C1025" s="16"/>
      <c r="D1025" s="16"/>
      <c r="E1025" s="16"/>
      <c r="F1025" s="9"/>
      <c r="G1025" s="16"/>
      <c r="H1025" s="9"/>
      <c r="I1025" s="16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</row>
    <row r="1026">
      <c r="A1026" s="14"/>
      <c r="B1026" s="15"/>
      <c r="C1026" s="16"/>
      <c r="D1026" s="16"/>
      <c r="E1026" s="16"/>
      <c r="F1026" s="9"/>
      <c r="G1026" s="16"/>
      <c r="H1026" s="9"/>
      <c r="I1026" s="16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</row>
    <row r="1027">
      <c r="A1027" s="14"/>
      <c r="B1027" s="15"/>
      <c r="C1027" s="16"/>
      <c r="D1027" s="16"/>
      <c r="E1027" s="16"/>
      <c r="F1027" s="9"/>
      <c r="G1027" s="16"/>
      <c r="H1027" s="9"/>
      <c r="I1027" s="16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</row>
    <row r="1028">
      <c r="A1028" s="14"/>
      <c r="B1028" s="15"/>
      <c r="C1028" s="16"/>
      <c r="D1028" s="16"/>
      <c r="E1028" s="16"/>
      <c r="F1028" s="9"/>
      <c r="G1028" s="16"/>
      <c r="H1028" s="9"/>
      <c r="I1028" s="16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</row>
    <row r="1029">
      <c r="A1029" s="14"/>
      <c r="B1029" s="15"/>
      <c r="C1029" s="16"/>
      <c r="D1029" s="16"/>
      <c r="E1029" s="16"/>
      <c r="F1029" s="9"/>
      <c r="G1029" s="16"/>
      <c r="H1029" s="9"/>
      <c r="I1029" s="16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</row>
    <row r="1030">
      <c r="A1030" s="14"/>
      <c r="B1030" s="15"/>
      <c r="C1030" s="16"/>
      <c r="D1030" s="16"/>
      <c r="E1030" s="16"/>
      <c r="F1030" s="9"/>
      <c r="G1030" s="16"/>
      <c r="H1030" s="9"/>
      <c r="I1030" s="16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</row>
    <row r="1031">
      <c r="A1031" s="14"/>
      <c r="B1031" s="15"/>
      <c r="C1031" s="16"/>
      <c r="D1031" s="16"/>
      <c r="E1031" s="16"/>
      <c r="F1031" s="9"/>
      <c r="G1031" s="16"/>
      <c r="H1031" s="9"/>
      <c r="I1031" s="16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</row>
    <row r="1032">
      <c r="A1032" s="14"/>
      <c r="B1032" s="15"/>
      <c r="C1032" s="16"/>
      <c r="D1032" s="16"/>
      <c r="E1032" s="16"/>
      <c r="F1032" s="9"/>
      <c r="G1032" s="16"/>
      <c r="H1032" s="9"/>
      <c r="I1032" s="16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</row>
    <row r="1033">
      <c r="A1033" s="14"/>
      <c r="B1033" s="15"/>
      <c r="C1033" s="16"/>
      <c r="D1033" s="16"/>
      <c r="E1033" s="16"/>
      <c r="F1033" s="9"/>
      <c r="G1033" s="16"/>
      <c r="H1033" s="9"/>
      <c r="I1033" s="16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</row>
    <row r="1034">
      <c r="A1034" s="14"/>
      <c r="B1034" s="15"/>
      <c r="C1034" s="16"/>
      <c r="D1034" s="16"/>
      <c r="E1034" s="16"/>
      <c r="F1034" s="9"/>
      <c r="G1034" s="16"/>
      <c r="H1034" s="9"/>
      <c r="I1034" s="16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</row>
    <row r="1035">
      <c r="A1035" s="14"/>
      <c r="B1035" s="15"/>
      <c r="C1035" s="16"/>
      <c r="D1035" s="16"/>
      <c r="E1035" s="16"/>
      <c r="F1035" s="9"/>
      <c r="G1035" s="16"/>
      <c r="H1035" s="9"/>
      <c r="I1035" s="16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</row>
    <row r="1036">
      <c r="A1036" s="14"/>
      <c r="B1036" s="15"/>
      <c r="C1036" s="16"/>
      <c r="D1036" s="16"/>
      <c r="E1036" s="16"/>
      <c r="F1036" s="9"/>
      <c r="G1036" s="16"/>
      <c r="H1036" s="9"/>
      <c r="I1036" s="16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</row>
    <row r="1037">
      <c r="A1037" s="14"/>
      <c r="B1037" s="15"/>
      <c r="C1037" s="16"/>
      <c r="D1037" s="16"/>
      <c r="E1037" s="16"/>
      <c r="F1037" s="9"/>
      <c r="G1037" s="16"/>
      <c r="H1037" s="9"/>
      <c r="I1037" s="16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</row>
    <row r="1038">
      <c r="A1038" s="14"/>
      <c r="B1038" s="15"/>
      <c r="C1038" s="16"/>
      <c r="D1038" s="16"/>
      <c r="E1038" s="16"/>
      <c r="F1038" s="9"/>
      <c r="G1038" s="16"/>
      <c r="H1038" s="9"/>
      <c r="I1038" s="16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</row>
    <row r="1039">
      <c r="A1039" s="14"/>
      <c r="B1039" s="15"/>
      <c r="C1039" s="16"/>
      <c r="D1039" s="16"/>
      <c r="E1039" s="16"/>
      <c r="F1039" s="9"/>
      <c r="G1039" s="16"/>
      <c r="H1039" s="9"/>
      <c r="I1039" s="16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</row>
    <row r="1040">
      <c r="A1040" s="14"/>
      <c r="B1040" s="15"/>
      <c r="C1040" s="16"/>
      <c r="D1040" s="16"/>
      <c r="E1040" s="16"/>
      <c r="F1040" s="9"/>
      <c r="G1040" s="16"/>
      <c r="H1040" s="9"/>
      <c r="I1040" s="16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</row>
    <row r="1041">
      <c r="A1041" s="14"/>
      <c r="B1041" s="15"/>
      <c r="C1041" s="16"/>
      <c r="D1041" s="16"/>
      <c r="E1041" s="16"/>
      <c r="F1041" s="9"/>
      <c r="G1041" s="16"/>
      <c r="H1041" s="9"/>
      <c r="I1041" s="16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</row>
    <row r="1042">
      <c r="A1042" s="14"/>
      <c r="B1042" s="15"/>
      <c r="C1042" s="16"/>
      <c r="D1042" s="16"/>
      <c r="E1042" s="16"/>
      <c r="F1042" s="9"/>
      <c r="G1042" s="16"/>
      <c r="H1042" s="9"/>
      <c r="I1042" s="16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</row>
    <row r="1043">
      <c r="A1043" s="14"/>
      <c r="B1043" s="15"/>
      <c r="C1043" s="16"/>
      <c r="D1043" s="16"/>
      <c r="E1043" s="16"/>
      <c r="F1043" s="9"/>
      <c r="G1043" s="16"/>
      <c r="H1043" s="9"/>
      <c r="I1043" s="16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</row>
    <row r="1044">
      <c r="A1044" s="14"/>
      <c r="B1044" s="15"/>
      <c r="C1044" s="16"/>
      <c r="D1044" s="16"/>
      <c r="E1044" s="16"/>
      <c r="F1044" s="9"/>
      <c r="G1044" s="16"/>
      <c r="H1044" s="9"/>
      <c r="I1044" s="16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</row>
    <row r="1045">
      <c r="A1045" s="14"/>
      <c r="B1045" s="15"/>
      <c r="C1045" s="16"/>
      <c r="D1045" s="16"/>
      <c r="E1045" s="16"/>
      <c r="F1045" s="9"/>
      <c r="G1045" s="16"/>
      <c r="H1045" s="9"/>
      <c r="I1045" s="16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</row>
    <row r="1046">
      <c r="A1046" s="14"/>
      <c r="B1046" s="15"/>
      <c r="C1046" s="16"/>
      <c r="D1046" s="16"/>
      <c r="E1046" s="16"/>
      <c r="F1046" s="9"/>
      <c r="G1046" s="16"/>
      <c r="H1046" s="9"/>
      <c r="I1046" s="16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</row>
    <row r="1047">
      <c r="A1047" s="14"/>
      <c r="B1047" s="15"/>
      <c r="C1047" s="16"/>
      <c r="D1047" s="16"/>
      <c r="E1047" s="16"/>
      <c r="F1047" s="9"/>
      <c r="G1047" s="16"/>
      <c r="H1047" s="9"/>
      <c r="I1047" s="16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</row>
    <row r="1048">
      <c r="A1048" s="14"/>
      <c r="B1048" s="15"/>
      <c r="C1048" s="16"/>
      <c r="D1048" s="16"/>
      <c r="E1048" s="16"/>
      <c r="F1048" s="9"/>
      <c r="G1048" s="16"/>
      <c r="H1048" s="9"/>
      <c r="I1048" s="16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</row>
    <row r="1049">
      <c r="A1049" s="14"/>
      <c r="B1049" s="15"/>
      <c r="C1049" s="16"/>
      <c r="D1049" s="16"/>
      <c r="E1049" s="16"/>
      <c r="F1049" s="9"/>
      <c r="G1049" s="16"/>
      <c r="H1049" s="9"/>
      <c r="I1049" s="16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</row>
    <row r="1050">
      <c r="A1050" s="14"/>
      <c r="B1050" s="15"/>
      <c r="C1050" s="16"/>
      <c r="D1050" s="16"/>
      <c r="E1050" s="16"/>
      <c r="F1050" s="9"/>
      <c r="G1050" s="16"/>
      <c r="H1050" s="9"/>
      <c r="I1050" s="16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</row>
    <row r="1051">
      <c r="A1051" s="14"/>
      <c r="B1051" s="15"/>
      <c r="C1051" s="16"/>
      <c r="D1051" s="16"/>
      <c r="E1051" s="16"/>
      <c r="F1051" s="9"/>
      <c r="G1051" s="16"/>
      <c r="H1051" s="9"/>
      <c r="I1051" s="16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</row>
    <row r="1052">
      <c r="A1052" s="14"/>
      <c r="B1052" s="15"/>
      <c r="C1052" s="16"/>
      <c r="D1052" s="16"/>
      <c r="E1052" s="16"/>
      <c r="F1052" s="9"/>
      <c r="G1052" s="16"/>
      <c r="H1052" s="9"/>
      <c r="I1052" s="16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</row>
    <row r="1053">
      <c r="A1053" s="14"/>
      <c r="B1053" s="15"/>
      <c r="C1053" s="16"/>
      <c r="D1053" s="16"/>
      <c r="E1053" s="16"/>
      <c r="F1053" s="9"/>
      <c r="G1053" s="16"/>
      <c r="H1053" s="9"/>
      <c r="I1053" s="16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</row>
    <row r="1054">
      <c r="A1054" s="14"/>
      <c r="B1054" s="15"/>
      <c r="C1054" s="16"/>
      <c r="D1054" s="16"/>
      <c r="E1054" s="16"/>
      <c r="F1054" s="9"/>
      <c r="G1054" s="16"/>
      <c r="H1054" s="9"/>
      <c r="I1054" s="16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</row>
    <row r="1055">
      <c r="A1055" s="14"/>
      <c r="B1055" s="15"/>
      <c r="C1055" s="16"/>
      <c r="D1055" s="16"/>
      <c r="E1055" s="16"/>
      <c r="F1055" s="9"/>
      <c r="G1055" s="16"/>
      <c r="H1055" s="9"/>
      <c r="I1055" s="16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</row>
    <row r="1056">
      <c r="A1056" s="14"/>
      <c r="B1056" s="15"/>
      <c r="C1056" s="16"/>
      <c r="D1056" s="16"/>
      <c r="E1056" s="16"/>
      <c r="F1056" s="9"/>
      <c r="G1056" s="16"/>
      <c r="H1056" s="9"/>
      <c r="I1056" s="16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</row>
    <row r="1057">
      <c r="A1057" s="14"/>
      <c r="B1057" s="15"/>
      <c r="C1057" s="16"/>
      <c r="D1057" s="16"/>
      <c r="E1057" s="16"/>
      <c r="F1057" s="9"/>
      <c r="G1057" s="16"/>
      <c r="H1057" s="9"/>
      <c r="I1057" s="16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</row>
    <row r="1058">
      <c r="A1058" s="14"/>
      <c r="B1058" s="15"/>
      <c r="C1058" s="16"/>
      <c r="D1058" s="16"/>
      <c r="E1058" s="16"/>
      <c r="F1058" s="9"/>
      <c r="G1058" s="16"/>
      <c r="H1058" s="9"/>
      <c r="I1058" s="16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</row>
    <row r="1059">
      <c r="A1059" s="14"/>
      <c r="B1059" s="15"/>
      <c r="C1059" s="16"/>
      <c r="D1059" s="16"/>
      <c r="E1059" s="16"/>
      <c r="F1059" s="9"/>
      <c r="G1059" s="16"/>
      <c r="H1059" s="9"/>
      <c r="I1059" s="16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</row>
    <row r="1060">
      <c r="A1060" s="14"/>
      <c r="B1060" s="15"/>
      <c r="C1060" s="16"/>
      <c r="D1060" s="16"/>
      <c r="E1060" s="16"/>
      <c r="F1060" s="9"/>
      <c r="G1060" s="16"/>
      <c r="H1060" s="9"/>
      <c r="I1060" s="16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</row>
    <row r="1061">
      <c r="A1061" s="14"/>
      <c r="B1061" s="15"/>
      <c r="C1061" s="16"/>
      <c r="D1061" s="16"/>
      <c r="E1061" s="16"/>
      <c r="F1061" s="9"/>
      <c r="G1061" s="16"/>
      <c r="H1061" s="9"/>
      <c r="I1061" s="16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</row>
    <row r="1062">
      <c r="A1062" s="14"/>
      <c r="B1062" s="15"/>
      <c r="C1062" s="16"/>
      <c r="D1062" s="16"/>
      <c r="E1062" s="16"/>
      <c r="F1062" s="9"/>
      <c r="G1062" s="16"/>
      <c r="H1062" s="9"/>
      <c r="I1062" s="16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</row>
    <row r="1063">
      <c r="A1063" s="14"/>
      <c r="B1063" s="15"/>
      <c r="C1063" s="16"/>
      <c r="D1063" s="16"/>
      <c r="E1063" s="16"/>
      <c r="F1063" s="9"/>
      <c r="G1063" s="16"/>
      <c r="H1063" s="9"/>
      <c r="I1063" s="16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</row>
    <row r="1064">
      <c r="A1064" s="14"/>
      <c r="B1064" s="15"/>
      <c r="C1064" s="16"/>
      <c r="D1064" s="16"/>
      <c r="E1064" s="16"/>
      <c r="F1064" s="9"/>
      <c r="G1064" s="16"/>
      <c r="H1064" s="9"/>
      <c r="I1064" s="16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</row>
    <row r="1065">
      <c r="A1065" s="14"/>
      <c r="B1065" s="15"/>
      <c r="C1065" s="16"/>
      <c r="D1065" s="16"/>
      <c r="E1065" s="16"/>
      <c r="F1065" s="9"/>
      <c r="G1065" s="16"/>
      <c r="H1065" s="9"/>
      <c r="I1065" s="16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</row>
    <row r="1066">
      <c r="A1066" s="14"/>
      <c r="B1066" s="15"/>
      <c r="C1066" s="16"/>
      <c r="D1066" s="16"/>
      <c r="E1066" s="16"/>
      <c r="F1066" s="9"/>
      <c r="G1066" s="16"/>
      <c r="H1066" s="9"/>
      <c r="I1066" s="16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</row>
    <row r="1067">
      <c r="A1067" s="14"/>
      <c r="B1067" s="15"/>
      <c r="C1067" s="16"/>
      <c r="D1067" s="16"/>
      <c r="E1067" s="16"/>
      <c r="F1067" s="9"/>
      <c r="G1067" s="16"/>
      <c r="H1067" s="9"/>
      <c r="I1067" s="16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</row>
    <row r="1068">
      <c r="A1068" s="14"/>
      <c r="B1068" s="15"/>
      <c r="C1068" s="16"/>
      <c r="D1068" s="16"/>
      <c r="E1068" s="16"/>
      <c r="F1068" s="9"/>
      <c r="G1068" s="16"/>
      <c r="H1068" s="9"/>
      <c r="I1068" s="16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</row>
    <row r="1069">
      <c r="A1069" s="14"/>
      <c r="B1069" s="15"/>
      <c r="C1069" s="16"/>
      <c r="D1069" s="16"/>
      <c r="E1069" s="16"/>
      <c r="F1069" s="9"/>
      <c r="G1069" s="16"/>
      <c r="H1069" s="9"/>
      <c r="I1069" s="16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</row>
    <row r="1070">
      <c r="A1070" s="14"/>
      <c r="B1070" s="15"/>
      <c r="C1070" s="16"/>
      <c r="D1070" s="16"/>
      <c r="E1070" s="16"/>
      <c r="F1070" s="9"/>
      <c r="G1070" s="16"/>
      <c r="H1070" s="9"/>
      <c r="I1070" s="16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</row>
    <row r="1071">
      <c r="A1071" s="14"/>
      <c r="B1071" s="15"/>
      <c r="C1071" s="16"/>
      <c r="D1071" s="16"/>
      <c r="E1071" s="16"/>
      <c r="F1071" s="9"/>
      <c r="G1071" s="16"/>
      <c r="H1071" s="9"/>
      <c r="I1071" s="16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</row>
    <row r="1072">
      <c r="A1072" s="14"/>
      <c r="B1072" s="15"/>
      <c r="C1072" s="16"/>
      <c r="D1072" s="16"/>
      <c r="E1072" s="16"/>
      <c r="F1072" s="9"/>
      <c r="G1072" s="16"/>
      <c r="H1072" s="9"/>
      <c r="I1072" s="16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</row>
    <row r="1073">
      <c r="A1073" s="14"/>
      <c r="B1073" s="15"/>
      <c r="C1073" s="16"/>
      <c r="D1073" s="16"/>
      <c r="E1073" s="16"/>
      <c r="F1073" s="9"/>
      <c r="G1073" s="16"/>
      <c r="H1073" s="9"/>
      <c r="I1073" s="16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</row>
    <row r="1074">
      <c r="A1074" s="14"/>
      <c r="B1074" s="15"/>
      <c r="C1074" s="16"/>
      <c r="D1074" s="16"/>
      <c r="E1074" s="16"/>
      <c r="F1074" s="9"/>
      <c r="G1074" s="16"/>
      <c r="H1074" s="9"/>
      <c r="I1074" s="16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</row>
    <row r="1075">
      <c r="A1075" s="14"/>
      <c r="B1075" s="15"/>
      <c r="C1075" s="16"/>
      <c r="D1075" s="16"/>
      <c r="E1075" s="16"/>
      <c r="F1075" s="9"/>
      <c r="G1075" s="16"/>
      <c r="H1075" s="9"/>
      <c r="I1075" s="16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</row>
    <row r="1076">
      <c r="A1076" s="14"/>
      <c r="B1076" s="15"/>
      <c r="C1076" s="16"/>
      <c r="D1076" s="16"/>
      <c r="E1076" s="16"/>
      <c r="F1076" s="9"/>
      <c r="G1076" s="16"/>
      <c r="H1076" s="9"/>
      <c r="I1076" s="16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</row>
    <row r="1077">
      <c r="A1077" s="14"/>
      <c r="B1077" s="15"/>
      <c r="C1077" s="16"/>
      <c r="D1077" s="16"/>
      <c r="E1077" s="16"/>
      <c r="F1077" s="9"/>
      <c r="G1077" s="16"/>
      <c r="H1077" s="9"/>
      <c r="I1077" s="16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</row>
    <row r="1078">
      <c r="A1078" s="14"/>
      <c r="B1078" s="15"/>
      <c r="C1078" s="16"/>
      <c r="D1078" s="16"/>
      <c r="E1078" s="16"/>
      <c r="F1078" s="9"/>
      <c r="G1078" s="16"/>
      <c r="H1078" s="9"/>
      <c r="I1078" s="16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</row>
    <row r="1079">
      <c r="A1079" s="14"/>
      <c r="B1079" s="15"/>
      <c r="C1079" s="16"/>
      <c r="D1079" s="16"/>
      <c r="E1079" s="16"/>
      <c r="F1079" s="9"/>
      <c r="G1079" s="16"/>
      <c r="H1079" s="9"/>
      <c r="I1079" s="16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</row>
    <row r="1080">
      <c r="A1080" s="14"/>
      <c r="B1080" s="15"/>
      <c r="C1080" s="16"/>
      <c r="D1080" s="16"/>
      <c r="E1080" s="16"/>
      <c r="F1080" s="9"/>
      <c r="G1080" s="16"/>
      <c r="H1080" s="9"/>
      <c r="I1080" s="16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</row>
    <row r="1081">
      <c r="A1081" s="14"/>
      <c r="B1081" s="15"/>
      <c r="C1081" s="16"/>
      <c r="D1081" s="16"/>
      <c r="E1081" s="16"/>
      <c r="F1081" s="9"/>
      <c r="G1081" s="16"/>
      <c r="H1081" s="9"/>
      <c r="I1081" s="16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</row>
    <row r="1082">
      <c r="A1082" s="14"/>
      <c r="B1082" s="15"/>
      <c r="C1082" s="16"/>
      <c r="D1082" s="16"/>
      <c r="E1082" s="16"/>
      <c r="F1082" s="9"/>
      <c r="G1082" s="16"/>
      <c r="H1082" s="9"/>
      <c r="I1082" s="16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</row>
    <row r="1083">
      <c r="A1083" s="14"/>
      <c r="B1083" s="15"/>
      <c r="C1083" s="16"/>
      <c r="D1083" s="16"/>
      <c r="E1083" s="16"/>
      <c r="F1083" s="9"/>
      <c r="G1083" s="16"/>
      <c r="H1083" s="9"/>
      <c r="I1083" s="16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</row>
    <row r="1084">
      <c r="A1084" s="14"/>
      <c r="B1084" s="15"/>
      <c r="C1084" s="16"/>
      <c r="D1084" s="16"/>
      <c r="E1084" s="16"/>
      <c r="F1084" s="9"/>
      <c r="G1084" s="16"/>
      <c r="H1084" s="9"/>
      <c r="I1084" s="16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</row>
    <row r="1085">
      <c r="A1085" s="14"/>
      <c r="B1085" s="15"/>
      <c r="C1085" s="16"/>
      <c r="D1085" s="16"/>
      <c r="E1085" s="16"/>
      <c r="F1085" s="9"/>
      <c r="G1085" s="16"/>
      <c r="H1085" s="9"/>
      <c r="I1085" s="16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</row>
    <row r="1086">
      <c r="A1086" s="14"/>
      <c r="B1086" s="15"/>
      <c r="C1086" s="16"/>
      <c r="D1086" s="16"/>
      <c r="E1086" s="16"/>
      <c r="F1086" s="9"/>
      <c r="G1086" s="16"/>
      <c r="H1086" s="9"/>
      <c r="I1086" s="16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</row>
    <row r="1087">
      <c r="A1087" s="14"/>
      <c r="B1087" s="15"/>
      <c r="C1087" s="16"/>
      <c r="D1087" s="16"/>
      <c r="E1087" s="16"/>
      <c r="F1087" s="9"/>
      <c r="G1087" s="16"/>
      <c r="H1087" s="9"/>
      <c r="I1087" s="16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</row>
    <row r="1088">
      <c r="A1088" s="14"/>
      <c r="B1088" s="15"/>
      <c r="C1088" s="16"/>
      <c r="D1088" s="16"/>
      <c r="E1088" s="16"/>
      <c r="F1088" s="9"/>
      <c r="G1088" s="16"/>
      <c r="H1088" s="9"/>
      <c r="I1088" s="16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</row>
    <row r="1089">
      <c r="A1089" s="14"/>
      <c r="B1089" s="15"/>
      <c r="C1089" s="16"/>
      <c r="D1089" s="16"/>
      <c r="E1089" s="16"/>
      <c r="F1089" s="9"/>
      <c r="G1089" s="16"/>
      <c r="H1089" s="9"/>
      <c r="I1089" s="16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</row>
    <row r="1090">
      <c r="A1090" s="14"/>
      <c r="B1090" s="15"/>
      <c r="C1090" s="16"/>
      <c r="D1090" s="16"/>
      <c r="E1090" s="16"/>
      <c r="F1090" s="9"/>
      <c r="G1090" s="16"/>
      <c r="H1090" s="9"/>
      <c r="I1090" s="16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</row>
    <row r="1091">
      <c r="A1091" s="14"/>
      <c r="B1091" s="15"/>
      <c r="C1091" s="16"/>
      <c r="D1091" s="16"/>
      <c r="E1091" s="16"/>
      <c r="F1091" s="9"/>
      <c r="G1091" s="16"/>
      <c r="H1091" s="9"/>
      <c r="I1091" s="16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</row>
    <row r="1092">
      <c r="A1092" s="14"/>
      <c r="B1092" s="15"/>
      <c r="C1092" s="16"/>
      <c r="D1092" s="16"/>
      <c r="E1092" s="16"/>
      <c r="F1092" s="9"/>
      <c r="G1092" s="16"/>
      <c r="H1092" s="9"/>
      <c r="I1092" s="16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</row>
    <row r="1093">
      <c r="A1093" s="14"/>
      <c r="B1093" s="15"/>
      <c r="C1093" s="16"/>
      <c r="D1093" s="16"/>
      <c r="E1093" s="16"/>
      <c r="F1093" s="9"/>
      <c r="G1093" s="16"/>
      <c r="H1093" s="9"/>
      <c r="I1093" s="16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</row>
    <row r="1094">
      <c r="A1094" s="14"/>
      <c r="B1094" s="15"/>
      <c r="C1094" s="16"/>
      <c r="D1094" s="16"/>
      <c r="E1094" s="16"/>
      <c r="F1094" s="9"/>
      <c r="G1094" s="16"/>
      <c r="H1094" s="9"/>
      <c r="I1094" s="16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</row>
    <row r="1095">
      <c r="A1095" s="14"/>
      <c r="B1095" s="15"/>
      <c r="C1095" s="16"/>
      <c r="D1095" s="16"/>
      <c r="E1095" s="16"/>
      <c r="F1095" s="9"/>
      <c r="G1095" s="16"/>
      <c r="H1095" s="9"/>
      <c r="I1095" s="16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</row>
    <row r="1096">
      <c r="A1096" s="14"/>
      <c r="B1096" s="15"/>
      <c r="C1096" s="16"/>
      <c r="D1096" s="16"/>
      <c r="E1096" s="16"/>
      <c r="F1096" s="9"/>
      <c r="G1096" s="16"/>
      <c r="H1096" s="9"/>
      <c r="I1096" s="16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</row>
    <row r="1097">
      <c r="A1097" s="14"/>
      <c r="B1097" s="15"/>
      <c r="C1097" s="16"/>
      <c r="D1097" s="16"/>
      <c r="E1097" s="16"/>
      <c r="F1097" s="9"/>
      <c r="G1097" s="16"/>
      <c r="H1097" s="9"/>
      <c r="I1097" s="16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</row>
    <row r="1098">
      <c r="A1098" s="14"/>
      <c r="B1098" s="15"/>
      <c r="C1098" s="16"/>
      <c r="D1098" s="16"/>
      <c r="E1098" s="16"/>
      <c r="F1098" s="9"/>
      <c r="G1098" s="16"/>
      <c r="H1098" s="9"/>
      <c r="I1098" s="16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</row>
    <row r="1099">
      <c r="A1099" s="14"/>
      <c r="B1099" s="15"/>
      <c r="C1099" s="16"/>
      <c r="D1099" s="16"/>
      <c r="E1099" s="16"/>
      <c r="F1099" s="9"/>
      <c r="G1099" s="16"/>
      <c r="H1099" s="9"/>
      <c r="I1099" s="16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</row>
    <row r="1100">
      <c r="A1100" s="14"/>
      <c r="B1100" s="15"/>
      <c r="C1100" s="16"/>
      <c r="D1100" s="16"/>
      <c r="E1100" s="16"/>
      <c r="F1100" s="9"/>
      <c r="G1100" s="16"/>
      <c r="H1100" s="9"/>
      <c r="I1100" s="16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</row>
    <row r="1101">
      <c r="A1101" s="14"/>
      <c r="B1101" s="15"/>
      <c r="C1101" s="16"/>
      <c r="D1101" s="16"/>
      <c r="E1101" s="16"/>
      <c r="F1101" s="9"/>
      <c r="G1101" s="16"/>
      <c r="H1101" s="9"/>
      <c r="I1101" s="16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</row>
    <row r="1102">
      <c r="A1102" s="14"/>
      <c r="B1102" s="15"/>
      <c r="C1102" s="16"/>
      <c r="D1102" s="16"/>
      <c r="E1102" s="16"/>
      <c r="F1102" s="9"/>
      <c r="G1102" s="16"/>
      <c r="H1102" s="9"/>
      <c r="I1102" s="16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</row>
    <row r="1103">
      <c r="A1103" s="14"/>
      <c r="B1103" s="15"/>
      <c r="C1103" s="16"/>
      <c r="D1103" s="16"/>
      <c r="E1103" s="16"/>
      <c r="F1103" s="9"/>
      <c r="G1103" s="16"/>
      <c r="H1103" s="9"/>
      <c r="I1103" s="16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</row>
    <row r="1104">
      <c r="A1104" s="14"/>
      <c r="B1104" s="15"/>
      <c r="C1104" s="16"/>
      <c r="D1104" s="16"/>
      <c r="E1104" s="16"/>
      <c r="F1104" s="9"/>
      <c r="G1104" s="16"/>
      <c r="H1104" s="9"/>
      <c r="I1104" s="16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</row>
    <row r="1105">
      <c r="A1105" s="14"/>
      <c r="B1105" s="15"/>
      <c r="C1105" s="16"/>
      <c r="D1105" s="16"/>
      <c r="E1105" s="16"/>
      <c r="F1105" s="9"/>
      <c r="G1105" s="16"/>
      <c r="H1105" s="9"/>
      <c r="I1105" s="16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</row>
    <row r="1106">
      <c r="A1106" s="14"/>
      <c r="B1106" s="15"/>
      <c r="C1106" s="16"/>
      <c r="D1106" s="16"/>
      <c r="E1106" s="16"/>
      <c r="F1106" s="9"/>
      <c r="G1106" s="16"/>
      <c r="H1106" s="9"/>
      <c r="I1106" s="16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</row>
    <row r="1107">
      <c r="A1107" s="14"/>
      <c r="B1107" s="15"/>
      <c r="C1107" s="16"/>
      <c r="D1107" s="16"/>
      <c r="E1107" s="16"/>
      <c r="F1107" s="9"/>
      <c r="G1107" s="16"/>
      <c r="H1107" s="9"/>
      <c r="I1107" s="16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</row>
    <row r="1108">
      <c r="A1108" s="14"/>
      <c r="B1108" s="15"/>
      <c r="C1108" s="16"/>
      <c r="D1108" s="16"/>
      <c r="E1108" s="16"/>
      <c r="F1108" s="9"/>
      <c r="G1108" s="16"/>
      <c r="H1108" s="9"/>
      <c r="I1108" s="16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</row>
    <row r="1109">
      <c r="A1109" s="14"/>
      <c r="B1109" s="15"/>
      <c r="C1109" s="16"/>
      <c r="D1109" s="16"/>
      <c r="E1109" s="16"/>
      <c r="F1109" s="9"/>
      <c r="G1109" s="16"/>
      <c r="H1109" s="9"/>
      <c r="I1109" s="16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</row>
    <row r="1110">
      <c r="A1110" s="14"/>
      <c r="B1110" s="15"/>
      <c r="C1110" s="16"/>
      <c r="D1110" s="16"/>
      <c r="E1110" s="16"/>
      <c r="F1110" s="9"/>
      <c r="G1110" s="16"/>
      <c r="H1110" s="9"/>
      <c r="I1110" s="16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</row>
    <row r="1111">
      <c r="A1111" s="14"/>
      <c r="B1111" s="15"/>
      <c r="C1111" s="16"/>
      <c r="D1111" s="16"/>
      <c r="E1111" s="16"/>
      <c r="F1111" s="9"/>
      <c r="G1111" s="16"/>
      <c r="H1111" s="9"/>
      <c r="I1111" s="16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</row>
    <row r="1112">
      <c r="A1112" s="14"/>
      <c r="B1112" s="15"/>
      <c r="C1112" s="16"/>
      <c r="D1112" s="16"/>
      <c r="E1112" s="16"/>
      <c r="F1112" s="9"/>
      <c r="G1112" s="16"/>
      <c r="H1112" s="9"/>
      <c r="I1112" s="16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</row>
    <row r="1113">
      <c r="A1113" s="14"/>
      <c r="B1113" s="15"/>
      <c r="C1113" s="16"/>
      <c r="D1113" s="16"/>
      <c r="E1113" s="16"/>
      <c r="F1113" s="9"/>
      <c r="G1113" s="16"/>
      <c r="H1113" s="9"/>
      <c r="I1113" s="16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</row>
    <row r="1114">
      <c r="A1114" s="14"/>
      <c r="B1114" s="15"/>
      <c r="C1114" s="16"/>
      <c r="D1114" s="16"/>
      <c r="E1114" s="16"/>
      <c r="F1114" s="9"/>
      <c r="G1114" s="16"/>
      <c r="H1114" s="9"/>
      <c r="I1114" s="16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</row>
    <row r="1115">
      <c r="A1115" s="14"/>
      <c r="B1115" s="15"/>
      <c r="C1115" s="16"/>
      <c r="D1115" s="16"/>
      <c r="E1115" s="16"/>
      <c r="F1115" s="9"/>
      <c r="G1115" s="16"/>
      <c r="H1115" s="9"/>
      <c r="I1115" s="16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</row>
    <row r="1116">
      <c r="A1116" s="14"/>
      <c r="B1116" s="15"/>
      <c r="C1116" s="16"/>
      <c r="D1116" s="16"/>
      <c r="E1116" s="16"/>
      <c r="F1116" s="9"/>
      <c r="G1116" s="16"/>
      <c r="H1116" s="9"/>
      <c r="I1116" s="16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</row>
    <row r="1117">
      <c r="A1117" s="14"/>
      <c r="B1117" s="15"/>
      <c r="C1117" s="16"/>
      <c r="D1117" s="16"/>
      <c r="E1117" s="16"/>
      <c r="F1117" s="9"/>
      <c r="G1117" s="16"/>
      <c r="H1117" s="9"/>
      <c r="I1117" s="16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</row>
    <row r="1118">
      <c r="A1118" s="14"/>
      <c r="B1118" s="15"/>
      <c r="C1118" s="16"/>
      <c r="D1118" s="16"/>
      <c r="E1118" s="16"/>
      <c r="F1118" s="9"/>
      <c r="G1118" s="16"/>
      <c r="H1118" s="9"/>
      <c r="I1118" s="16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</row>
    <row r="1119">
      <c r="A1119" s="14"/>
      <c r="B1119" s="15"/>
      <c r="C1119" s="16"/>
      <c r="D1119" s="16"/>
      <c r="E1119" s="16"/>
      <c r="F1119" s="9"/>
      <c r="G1119" s="16"/>
      <c r="H1119" s="9"/>
      <c r="I1119" s="16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</row>
    <row r="1120">
      <c r="A1120" s="14"/>
      <c r="B1120" s="15"/>
      <c r="C1120" s="16"/>
      <c r="D1120" s="16"/>
      <c r="E1120" s="16"/>
      <c r="F1120" s="9"/>
      <c r="G1120" s="16"/>
      <c r="H1120" s="9"/>
      <c r="I1120" s="16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</row>
    <row r="1121">
      <c r="A1121" s="14"/>
      <c r="B1121" s="15"/>
      <c r="C1121" s="16"/>
      <c r="D1121" s="16"/>
      <c r="E1121" s="16"/>
      <c r="F1121" s="9"/>
      <c r="G1121" s="16"/>
      <c r="H1121" s="9"/>
      <c r="I1121" s="16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</row>
    <row r="1122">
      <c r="A1122" s="14"/>
      <c r="B1122" s="15"/>
      <c r="C1122" s="16"/>
      <c r="D1122" s="16"/>
      <c r="E1122" s="16"/>
      <c r="F1122" s="9"/>
      <c r="G1122" s="16"/>
      <c r="H1122" s="9"/>
      <c r="I1122" s="16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</row>
    <row r="1123">
      <c r="A1123" s="14"/>
      <c r="B1123" s="15"/>
      <c r="C1123" s="16"/>
      <c r="D1123" s="16"/>
      <c r="E1123" s="16"/>
      <c r="F1123" s="9"/>
      <c r="G1123" s="16"/>
      <c r="H1123" s="9"/>
      <c r="I1123" s="16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</row>
    <row r="1124">
      <c r="A1124" s="14"/>
      <c r="B1124" s="15"/>
      <c r="C1124" s="16"/>
      <c r="D1124" s="16"/>
      <c r="E1124" s="16"/>
      <c r="F1124" s="9"/>
      <c r="G1124" s="16"/>
      <c r="H1124" s="9"/>
      <c r="I1124" s="16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</row>
    <row r="1125">
      <c r="A1125" s="14"/>
      <c r="B1125" s="15"/>
      <c r="C1125" s="16"/>
      <c r="D1125" s="16"/>
      <c r="E1125" s="16"/>
      <c r="F1125" s="9"/>
      <c r="G1125" s="16"/>
      <c r="H1125" s="9"/>
      <c r="I1125" s="16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</row>
    <row r="1126">
      <c r="A1126" s="14"/>
      <c r="B1126" s="15"/>
      <c r="C1126" s="16"/>
      <c r="D1126" s="16"/>
      <c r="E1126" s="16"/>
      <c r="F1126" s="9"/>
      <c r="G1126" s="16"/>
      <c r="H1126" s="9"/>
      <c r="I1126" s="16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</row>
    <row r="1127">
      <c r="A1127" s="14"/>
      <c r="B1127" s="15"/>
      <c r="C1127" s="16"/>
      <c r="D1127" s="16"/>
      <c r="E1127" s="16"/>
      <c r="F1127" s="9"/>
      <c r="G1127" s="16"/>
      <c r="H1127" s="9"/>
      <c r="I1127" s="16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</row>
    <row r="1128">
      <c r="A1128" s="14"/>
      <c r="B1128" s="15"/>
      <c r="C1128" s="16"/>
      <c r="D1128" s="16"/>
      <c r="E1128" s="16"/>
      <c r="F1128" s="9"/>
      <c r="G1128" s="16"/>
      <c r="H1128" s="9"/>
      <c r="I1128" s="16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</row>
    <row r="1129">
      <c r="A1129" s="14"/>
      <c r="B1129" s="15"/>
      <c r="C1129" s="16"/>
      <c r="D1129" s="16"/>
      <c r="E1129" s="16"/>
      <c r="F1129" s="9"/>
      <c r="G1129" s="16"/>
      <c r="H1129" s="9"/>
      <c r="I1129" s="16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</row>
    <row r="1130">
      <c r="A1130" s="14"/>
      <c r="B1130" s="15"/>
      <c r="C1130" s="16"/>
      <c r="D1130" s="16"/>
      <c r="E1130" s="16"/>
      <c r="F1130" s="9"/>
      <c r="G1130" s="16"/>
      <c r="H1130" s="9"/>
      <c r="I1130" s="16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</row>
    <row r="1131">
      <c r="A1131" s="14"/>
      <c r="B1131" s="15"/>
      <c r="C1131" s="16"/>
      <c r="D1131" s="16"/>
      <c r="E1131" s="16"/>
      <c r="F1131" s="9"/>
      <c r="G1131" s="16"/>
      <c r="H1131" s="9"/>
      <c r="I1131" s="16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</row>
    <row r="1132">
      <c r="A1132" s="14"/>
      <c r="B1132" s="15"/>
      <c r="C1132" s="16"/>
      <c r="D1132" s="16"/>
      <c r="E1132" s="16"/>
      <c r="F1132" s="9"/>
      <c r="G1132" s="16"/>
      <c r="H1132" s="9"/>
      <c r="I1132" s="16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</row>
    <row r="1133">
      <c r="A1133" s="14"/>
      <c r="B1133" s="15"/>
      <c r="C1133" s="16"/>
      <c r="D1133" s="16"/>
      <c r="E1133" s="16"/>
      <c r="F1133" s="9"/>
      <c r="G1133" s="16"/>
      <c r="H1133" s="9"/>
      <c r="I1133" s="16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</row>
    <row r="1134">
      <c r="A1134" s="14"/>
      <c r="B1134" s="15"/>
      <c r="C1134" s="16"/>
      <c r="D1134" s="16"/>
      <c r="E1134" s="16"/>
      <c r="F1134" s="9"/>
      <c r="G1134" s="16"/>
      <c r="H1134" s="9"/>
      <c r="I1134" s="16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</row>
    <row r="1135">
      <c r="A1135" s="14"/>
      <c r="B1135" s="15"/>
      <c r="C1135" s="16"/>
      <c r="D1135" s="16"/>
      <c r="E1135" s="16"/>
      <c r="F1135" s="9"/>
      <c r="G1135" s="16"/>
      <c r="H1135" s="9"/>
      <c r="I1135" s="16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</row>
    <row r="1136">
      <c r="A1136" s="14"/>
      <c r="B1136" s="15"/>
      <c r="C1136" s="16"/>
      <c r="D1136" s="16"/>
      <c r="E1136" s="16"/>
      <c r="F1136" s="9"/>
      <c r="G1136" s="16"/>
      <c r="H1136" s="9"/>
      <c r="I1136" s="16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</row>
    <row r="1137">
      <c r="A1137" s="14"/>
      <c r="B1137" s="15"/>
      <c r="C1137" s="16"/>
      <c r="D1137" s="16"/>
      <c r="E1137" s="16"/>
      <c r="F1137" s="9"/>
      <c r="G1137" s="16"/>
      <c r="H1137" s="9"/>
      <c r="I1137" s="16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</row>
    <row r="1138">
      <c r="A1138" s="14"/>
      <c r="B1138" s="15"/>
      <c r="C1138" s="16"/>
      <c r="D1138" s="16"/>
      <c r="E1138" s="16"/>
      <c r="F1138" s="9"/>
      <c r="G1138" s="16"/>
      <c r="H1138" s="9"/>
      <c r="I1138" s="16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</row>
    <row r="1139">
      <c r="A1139" s="14"/>
      <c r="B1139" s="15"/>
      <c r="C1139" s="16"/>
      <c r="D1139" s="16"/>
      <c r="E1139" s="16"/>
      <c r="F1139" s="9"/>
      <c r="G1139" s="16"/>
      <c r="H1139" s="9"/>
      <c r="I1139" s="16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</row>
    <row r="1140">
      <c r="A1140" s="14"/>
      <c r="B1140" s="15"/>
      <c r="C1140" s="16"/>
      <c r="D1140" s="16"/>
      <c r="E1140" s="16"/>
      <c r="F1140" s="9"/>
      <c r="G1140" s="16"/>
      <c r="H1140" s="9"/>
      <c r="I1140" s="16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</row>
    <row r="1141">
      <c r="A1141" s="14"/>
      <c r="B1141" s="15"/>
      <c r="C1141" s="16"/>
      <c r="D1141" s="16"/>
      <c r="E1141" s="16"/>
      <c r="F1141" s="9"/>
      <c r="G1141" s="16"/>
      <c r="H1141" s="9"/>
      <c r="I1141" s="16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</row>
    <row r="1142">
      <c r="A1142" s="14"/>
      <c r="B1142" s="15"/>
      <c r="C1142" s="16"/>
      <c r="D1142" s="16"/>
      <c r="E1142" s="16"/>
      <c r="F1142" s="9"/>
      <c r="G1142" s="16"/>
      <c r="H1142" s="9"/>
      <c r="I1142" s="16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</row>
    <row r="1143">
      <c r="A1143" s="14"/>
      <c r="B1143" s="15"/>
      <c r="C1143" s="16"/>
      <c r="D1143" s="16"/>
      <c r="E1143" s="16"/>
      <c r="F1143" s="9"/>
      <c r="G1143" s="16"/>
      <c r="H1143" s="9"/>
      <c r="I1143" s="16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</row>
    <row r="1144">
      <c r="A1144" s="14"/>
      <c r="B1144" s="15"/>
      <c r="C1144" s="16"/>
      <c r="D1144" s="16"/>
      <c r="E1144" s="16"/>
      <c r="F1144" s="9"/>
      <c r="G1144" s="16"/>
      <c r="H1144" s="9"/>
      <c r="I1144" s="16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</row>
    <row r="1145">
      <c r="A1145" s="14"/>
      <c r="B1145" s="15"/>
      <c r="C1145" s="16"/>
      <c r="D1145" s="16"/>
      <c r="E1145" s="16"/>
      <c r="F1145" s="9"/>
      <c r="G1145" s="16"/>
      <c r="H1145" s="9"/>
      <c r="I1145" s="16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</row>
    <row r="1146">
      <c r="A1146" s="14"/>
      <c r="B1146" s="15"/>
      <c r="C1146" s="16"/>
      <c r="D1146" s="16"/>
      <c r="E1146" s="16"/>
      <c r="F1146" s="9"/>
      <c r="G1146" s="16"/>
      <c r="H1146" s="9"/>
      <c r="I1146" s="16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</row>
    <row r="1147">
      <c r="A1147" s="14"/>
      <c r="B1147" s="15"/>
      <c r="C1147" s="16"/>
      <c r="D1147" s="16"/>
      <c r="E1147" s="16"/>
      <c r="F1147" s="9"/>
      <c r="G1147" s="16"/>
      <c r="H1147" s="9"/>
      <c r="I1147" s="16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</row>
    <row r="1148">
      <c r="A1148" s="14"/>
      <c r="B1148" s="15"/>
      <c r="C1148" s="16"/>
      <c r="D1148" s="16"/>
      <c r="E1148" s="16"/>
      <c r="F1148" s="9"/>
      <c r="G1148" s="16"/>
      <c r="H1148" s="9"/>
      <c r="I1148" s="16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</row>
    <row r="1149">
      <c r="A1149" s="14"/>
      <c r="B1149" s="15"/>
      <c r="C1149" s="16"/>
      <c r="D1149" s="16"/>
      <c r="E1149" s="16"/>
      <c r="F1149" s="9"/>
      <c r="G1149" s="16"/>
      <c r="H1149" s="9"/>
      <c r="I1149" s="16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</row>
    <row r="1150">
      <c r="A1150" s="14"/>
      <c r="B1150" s="15"/>
      <c r="C1150" s="16"/>
      <c r="D1150" s="16"/>
      <c r="E1150" s="16"/>
      <c r="F1150" s="9"/>
      <c r="G1150" s="16"/>
      <c r="H1150" s="9"/>
      <c r="I1150" s="16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</row>
    <row r="1151">
      <c r="A1151" s="14"/>
      <c r="B1151" s="15"/>
      <c r="C1151" s="16"/>
      <c r="D1151" s="16"/>
      <c r="E1151" s="16"/>
      <c r="F1151" s="9"/>
      <c r="G1151" s="16"/>
      <c r="H1151" s="9"/>
      <c r="I1151" s="16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</row>
    <row r="1152">
      <c r="A1152" s="14"/>
      <c r="B1152" s="15"/>
      <c r="C1152" s="16"/>
      <c r="D1152" s="16"/>
      <c r="E1152" s="16"/>
      <c r="F1152" s="9"/>
      <c r="G1152" s="16"/>
      <c r="H1152" s="9"/>
      <c r="I1152" s="16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</row>
    <row r="1153">
      <c r="A1153" s="14"/>
      <c r="B1153" s="15"/>
      <c r="C1153" s="16"/>
      <c r="D1153" s="16"/>
      <c r="E1153" s="16"/>
      <c r="F1153" s="9"/>
      <c r="G1153" s="16"/>
      <c r="H1153" s="9"/>
      <c r="I1153" s="16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</row>
    <row r="1154">
      <c r="A1154" s="14"/>
      <c r="B1154" s="15"/>
      <c r="C1154" s="16"/>
      <c r="D1154" s="16"/>
      <c r="E1154" s="16"/>
      <c r="F1154" s="9"/>
      <c r="G1154" s="16"/>
      <c r="H1154" s="9"/>
      <c r="I1154" s="16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</row>
    <row r="1155">
      <c r="A1155" s="14"/>
      <c r="B1155" s="15"/>
      <c r="C1155" s="16"/>
      <c r="D1155" s="16"/>
      <c r="E1155" s="16"/>
      <c r="F1155" s="9"/>
      <c r="G1155" s="16"/>
      <c r="H1155" s="9"/>
      <c r="I1155" s="16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</row>
    <row r="1156">
      <c r="A1156" s="14"/>
      <c r="B1156" s="15"/>
      <c r="C1156" s="16"/>
      <c r="D1156" s="16"/>
      <c r="E1156" s="16"/>
      <c r="F1156" s="9"/>
      <c r="G1156" s="16"/>
      <c r="H1156" s="9"/>
      <c r="I1156" s="16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</row>
    <row r="1157">
      <c r="A1157" s="14"/>
      <c r="B1157" s="15"/>
      <c r="C1157" s="16"/>
      <c r="D1157" s="16"/>
      <c r="E1157" s="16"/>
      <c r="F1157" s="9"/>
      <c r="G1157" s="16"/>
      <c r="H1157" s="9"/>
      <c r="I1157" s="16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</row>
    <row r="1158">
      <c r="A1158" s="14"/>
      <c r="B1158" s="15"/>
      <c r="C1158" s="16"/>
      <c r="D1158" s="16"/>
      <c r="E1158" s="16"/>
      <c r="F1158" s="9"/>
      <c r="G1158" s="16"/>
      <c r="H1158" s="9"/>
      <c r="I1158" s="16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</row>
    <row r="1159">
      <c r="A1159" s="14"/>
      <c r="B1159" s="15"/>
      <c r="C1159" s="16"/>
      <c r="D1159" s="16"/>
      <c r="E1159" s="16"/>
      <c r="F1159" s="9"/>
      <c r="G1159" s="16"/>
      <c r="H1159" s="9"/>
      <c r="I1159" s="16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</row>
    <row r="1160">
      <c r="A1160" s="14"/>
      <c r="B1160" s="15"/>
      <c r="C1160" s="16"/>
      <c r="D1160" s="16"/>
      <c r="E1160" s="16"/>
      <c r="F1160" s="9"/>
      <c r="G1160" s="16"/>
      <c r="H1160" s="9"/>
      <c r="I1160" s="16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</row>
    <row r="1161">
      <c r="A1161" s="14"/>
      <c r="B1161" s="15"/>
      <c r="C1161" s="16"/>
      <c r="D1161" s="16"/>
      <c r="E1161" s="16"/>
      <c r="F1161" s="9"/>
      <c r="G1161" s="16"/>
      <c r="H1161" s="9"/>
      <c r="I1161" s="16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</row>
    <row r="1162">
      <c r="A1162" s="14"/>
      <c r="B1162" s="15"/>
      <c r="C1162" s="16"/>
      <c r="D1162" s="16"/>
      <c r="E1162" s="16"/>
      <c r="F1162" s="9"/>
      <c r="G1162" s="16"/>
      <c r="H1162" s="9"/>
      <c r="I1162" s="16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</row>
    <row r="1163">
      <c r="A1163" s="14"/>
      <c r="B1163" s="15"/>
      <c r="C1163" s="16"/>
      <c r="D1163" s="16"/>
      <c r="E1163" s="16"/>
      <c r="F1163" s="9"/>
      <c r="G1163" s="16"/>
      <c r="H1163" s="9"/>
      <c r="I1163" s="16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</row>
    <row r="1164">
      <c r="A1164" s="14"/>
      <c r="B1164" s="15"/>
      <c r="C1164" s="16"/>
      <c r="D1164" s="16"/>
      <c r="E1164" s="16"/>
      <c r="F1164" s="9"/>
      <c r="G1164" s="16"/>
      <c r="H1164" s="9"/>
      <c r="I1164" s="16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</row>
    <row r="1165">
      <c r="A1165" s="14"/>
      <c r="B1165" s="15"/>
      <c r="C1165" s="16"/>
      <c r="D1165" s="16"/>
      <c r="E1165" s="16"/>
      <c r="F1165" s="9"/>
      <c r="G1165" s="16"/>
      <c r="H1165" s="9"/>
      <c r="I1165" s="16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</row>
    <row r="1166">
      <c r="A1166" s="14"/>
      <c r="B1166" s="15"/>
      <c r="C1166" s="16"/>
      <c r="D1166" s="16"/>
      <c r="E1166" s="16"/>
      <c r="F1166" s="9"/>
      <c r="G1166" s="16"/>
      <c r="H1166" s="9"/>
      <c r="I1166" s="16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</row>
    <row r="1167">
      <c r="A1167" s="14"/>
      <c r="B1167" s="15"/>
      <c r="C1167" s="16"/>
      <c r="D1167" s="16"/>
      <c r="E1167" s="16"/>
      <c r="F1167" s="9"/>
      <c r="G1167" s="16"/>
      <c r="H1167" s="9"/>
      <c r="I1167" s="16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</row>
    <row r="1168">
      <c r="A1168" s="14"/>
      <c r="B1168" s="15"/>
      <c r="C1168" s="16"/>
      <c r="D1168" s="16"/>
      <c r="E1168" s="16"/>
      <c r="F1168" s="9"/>
      <c r="G1168" s="16"/>
      <c r="H1168" s="9"/>
      <c r="I1168" s="16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</row>
    <row r="1169">
      <c r="A1169" s="14"/>
      <c r="B1169" s="15"/>
      <c r="C1169" s="16"/>
      <c r="D1169" s="16"/>
      <c r="E1169" s="16"/>
      <c r="F1169" s="9"/>
      <c r="G1169" s="16"/>
      <c r="H1169" s="9"/>
      <c r="I1169" s="16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</row>
    <row r="1170">
      <c r="A1170" s="14"/>
      <c r="B1170" s="15"/>
      <c r="C1170" s="16"/>
      <c r="D1170" s="16"/>
      <c r="E1170" s="16"/>
      <c r="F1170" s="9"/>
      <c r="G1170" s="16"/>
      <c r="H1170" s="9"/>
      <c r="I1170" s="16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</row>
    <row r="1171">
      <c r="A1171" s="14"/>
      <c r="B1171" s="15"/>
      <c r="C1171" s="16"/>
      <c r="D1171" s="16"/>
      <c r="E1171" s="16"/>
      <c r="F1171" s="9"/>
      <c r="G1171" s="16"/>
      <c r="H1171" s="9"/>
      <c r="I1171" s="16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</row>
    <row r="1172">
      <c r="A1172" s="14"/>
      <c r="B1172" s="15"/>
      <c r="C1172" s="16"/>
      <c r="D1172" s="16"/>
      <c r="E1172" s="16"/>
      <c r="F1172" s="9"/>
      <c r="G1172" s="16"/>
      <c r="H1172" s="9"/>
      <c r="I1172" s="16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</row>
    <row r="1173">
      <c r="A1173" s="14"/>
      <c r="B1173" s="15"/>
      <c r="C1173" s="16"/>
      <c r="D1173" s="16"/>
      <c r="E1173" s="16"/>
      <c r="F1173" s="9"/>
      <c r="G1173" s="16"/>
      <c r="H1173" s="9"/>
      <c r="I1173" s="16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</row>
    <row r="1174">
      <c r="A1174" s="14"/>
      <c r="B1174" s="15"/>
      <c r="C1174" s="16"/>
      <c r="D1174" s="16"/>
      <c r="E1174" s="16"/>
      <c r="F1174" s="9"/>
      <c r="G1174" s="16"/>
      <c r="H1174" s="9"/>
      <c r="I1174" s="16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</row>
    <row r="1175">
      <c r="A1175" s="14"/>
      <c r="B1175" s="15"/>
      <c r="C1175" s="16"/>
      <c r="D1175" s="16"/>
      <c r="E1175" s="16"/>
      <c r="F1175" s="9"/>
      <c r="G1175" s="16"/>
      <c r="H1175" s="9"/>
      <c r="I1175" s="16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</row>
    <row r="1176">
      <c r="A1176" s="14"/>
      <c r="B1176" s="15"/>
      <c r="C1176" s="16"/>
      <c r="D1176" s="16"/>
      <c r="E1176" s="16"/>
      <c r="F1176" s="9"/>
      <c r="G1176" s="16"/>
      <c r="H1176" s="9"/>
      <c r="I1176" s="16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</row>
    <row r="1177">
      <c r="A1177" s="14"/>
      <c r="B1177" s="15"/>
      <c r="C1177" s="16"/>
      <c r="D1177" s="16"/>
      <c r="E1177" s="16"/>
      <c r="F1177" s="9"/>
      <c r="G1177" s="16"/>
      <c r="H1177" s="9"/>
      <c r="I1177" s="16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</row>
    <row r="1178">
      <c r="A1178" s="14"/>
      <c r="B1178" s="15"/>
      <c r="C1178" s="16"/>
      <c r="D1178" s="16"/>
      <c r="E1178" s="16"/>
      <c r="F1178" s="9"/>
      <c r="G1178" s="16"/>
      <c r="H1178" s="9"/>
      <c r="I1178" s="16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</row>
    <row r="1179">
      <c r="A1179" s="14"/>
      <c r="B1179" s="15"/>
      <c r="C1179" s="16"/>
      <c r="D1179" s="16"/>
      <c r="E1179" s="16"/>
      <c r="F1179" s="9"/>
      <c r="G1179" s="16"/>
      <c r="H1179" s="9"/>
      <c r="I1179" s="16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</row>
    <row r="1180">
      <c r="A1180" s="14"/>
      <c r="B1180" s="15"/>
      <c r="C1180" s="16"/>
      <c r="D1180" s="16"/>
      <c r="E1180" s="16"/>
      <c r="F1180" s="9"/>
      <c r="G1180" s="16"/>
      <c r="H1180" s="9"/>
      <c r="I1180" s="16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</row>
    <row r="1181">
      <c r="A1181" s="14"/>
      <c r="B1181" s="15"/>
      <c r="C1181" s="16"/>
      <c r="D1181" s="16"/>
      <c r="E1181" s="16"/>
      <c r="F1181" s="9"/>
      <c r="G1181" s="16"/>
      <c r="H1181" s="9"/>
      <c r="I1181" s="16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</row>
    <row r="1182">
      <c r="A1182" s="14"/>
      <c r="B1182" s="15"/>
      <c r="C1182" s="16"/>
      <c r="D1182" s="16"/>
      <c r="E1182" s="16"/>
      <c r="F1182" s="9"/>
      <c r="G1182" s="16"/>
      <c r="H1182" s="9"/>
      <c r="I1182" s="16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</row>
    <row r="1183">
      <c r="A1183" s="14"/>
      <c r="B1183" s="15"/>
      <c r="C1183" s="16"/>
      <c r="D1183" s="16"/>
      <c r="E1183" s="16"/>
      <c r="F1183" s="9"/>
      <c r="G1183" s="16"/>
      <c r="H1183" s="9"/>
      <c r="I1183" s="16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</row>
    <row r="1184">
      <c r="A1184" s="14"/>
      <c r="B1184" s="15"/>
      <c r="C1184" s="16"/>
      <c r="D1184" s="16"/>
      <c r="E1184" s="16"/>
      <c r="F1184" s="9"/>
      <c r="G1184" s="16"/>
      <c r="H1184" s="9"/>
      <c r="I1184" s="16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</row>
    <row r="1185">
      <c r="A1185" s="14"/>
      <c r="B1185" s="15"/>
      <c r="C1185" s="16"/>
      <c r="D1185" s="16"/>
      <c r="E1185" s="16"/>
      <c r="F1185" s="9"/>
      <c r="G1185" s="16"/>
      <c r="H1185" s="9"/>
      <c r="I1185" s="16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</row>
    <row r="1186">
      <c r="A1186" s="14"/>
      <c r="B1186" s="15"/>
      <c r="C1186" s="16"/>
      <c r="D1186" s="16"/>
      <c r="E1186" s="16"/>
      <c r="F1186" s="9"/>
      <c r="G1186" s="16"/>
      <c r="H1186" s="9"/>
      <c r="I1186" s="16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</row>
    <row r="1187">
      <c r="A1187" s="14"/>
      <c r="B1187" s="15"/>
      <c r="C1187" s="16"/>
      <c r="D1187" s="16"/>
      <c r="E1187" s="16"/>
      <c r="F1187" s="9"/>
      <c r="G1187" s="16"/>
      <c r="H1187" s="9"/>
      <c r="I1187" s="16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</row>
    <row r="1188">
      <c r="A1188" s="14"/>
      <c r="B1188" s="15"/>
      <c r="C1188" s="16"/>
      <c r="D1188" s="16"/>
      <c r="E1188" s="16"/>
      <c r="F1188" s="9"/>
      <c r="G1188" s="16"/>
      <c r="H1188" s="9"/>
      <c r="I1188" s="16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</row>
    <row r="1189">
      <c r="A1189" s="14"/>
      <c r="B1189" s="15"/>
      <c r="C1189" s="16"/>
      <c r="D1189" s="16"/>
      <c r="E1189" s="16"/>
      <c r="F1189" s="9"/>
      <c r="G1189" s="16"/>
      <c r="H1189" s="9"/>
      <c r="I1189" s="16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</row>
    <row r="1190">
      <c r="A1190" s="14"/>
      <c r="B1190" s="15"/>
      <c r="C1190" s="16"/>
      <c r="D1190" s="16"/>
      <c r="E1190" s="16"/>
      <c r="F1190" s="9"/>
      <c r="G1190" s="16"/>
      <c r="H1190" s="9"/>
      <c r="I1190" s="16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</row>
    <row r="1191">
      <c r="A1191" s="14"/>
      <c r="B1191" s="15"/>
      <c r="C1191" s="16"/>
      <c r="D1191" s="16"/>
      <c r="E1191" s="16"/>
      <c r="F1191" s="9"/>
      <c r="G1191" s="16"/>
      <c r="H1191" s="9"/>
      <c r="I1191" s="16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</row>
    <row r="1192">
      <c r="A1192" s="14"/>
      <c r="B1192" s="15"/>
      <c r="C1192" s="16"/>
      <c r="D1192" s="16"/>
      <c r="E1192" s="16"/>
      <c r="F1192" s="9"/>
      <c r="G1192" s="16"/>
      <c r="H1192" s="9"/>
      <c r="I1192" s="16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</row>
    <row r="1193">
      <c r="A1193" s="14"/>
      <c r="B1193" s="15"/>
      <c r="C1193" s="16"/>
      <c r="D1193" s="16"/>
      <c r="E1193" s="16"/>
      <c r="F1193" s="9"/>
      <c r="G1193" s="16"/>
      <c r="H1193" s="9"/>
      <c r="I1193" s="16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</row>
    <row r="1194">
      <c r="A1194" s="14"/>
      <c r="B1194" s="15"/>
      <c r="C1194" s="16"/>
      <c r="D1194" s="16"/>
      <c r="E1194" s="16"/>
      <c r="F1194" s="9"/>
      <c r="G1194" s="16"/>
      <c r="H1194" s="9"/>
      <c r="I1194" s="16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</row>
    <row r="1195">
      <c r="A1195" s="14"/>
      <c r="B1195" s="15"/>
      <c r="C1195" s="16"/>
      <c r="D1195" s="16"/>
      <c r="E1195" s="16"/>
      <c r="F1195" s="9"/>
      <c r="G1195" s="16"/>
      <c r="H1195" s="9"/>
      <c r="I1195" s="16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</row>
    <row r="1196">
      <c r="A1196" s="14"/>
      <c r="B1196" s="15"/>
      <c r="C1196" s="16"/>
      <c r="D1196" s="16"/>
      <c r="E1196" s="16"/>
      <c r="F1196" s="9"/>
      <c r="G1196" s="16"/>
      <c r="H1196" s="9"/>
      <c r="I1196" s="16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</row>
    <row r="1197">
      <c r="A1197" s="14"/>
      <c r="B1197" s="15"/>
      <c r="C1197" s="16"/>
      <c r="D1197" s="16"/>
      <c r="E1197" s="16"/>
      <c r="F1197" s="9"/>
      <c r="G1197" s="16"/>
      <c r="H1197" s="9"/>
      <c r="I1197" s="16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</row>
    <row r="1198">
      <c r="A1198" s="14"/>
      <c r="B1198" s="15"/>
      <c r="C1198" s="16"/>
      <c r="D1198" s="16"/>
      <c r="E1198" s="16"/>
      <c r="F1198" s="9"/>
      <c r="G1198" s="16"/>
      <c r="H1198" s="9"/>
      <c r="I1198" s="16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</row>
    <row r="1199">
      <c r="A1199" s="14"/>
      <c r="B1199" s="15"/>
      <c r="C1199" s="16"/>
      <c r="D1199" s="16"/>
      <c r="E1199" s="16"/>
      <c r="F1199" s="9"/>
      <c r="G1199" s="16"/>
      <c r="H1199" s="9"/>
      <c r="I1199" s="16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</row>
    <row r="1200">
      <c r="A1200" s="14"/>
      <c r="B1200" s="15"/>
      <c r="C1200" s="16"/>
      <c r="D1200" s="16"/>
      <c r="E1200" s="16"/>
      <c r="F1200" s="9"/>
      <c r="G1200" s="16"/>
      <c r="H1200" s="9"/>
      <c r="I1200" s="16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</row>
    <row r="1201">
      <c r="A1201" s="14"/>
      <c r="B1201" s="15"/>
      <c r="C1201" s="16"/>
      <c r="D1201" s="16"/>
      <c r="E1201" s="16"/>
      <c r="F1201" s="9"/>
      <c r="G1201" s="16"/>
      <c r="H1201" s="9"/>
      <c r="I1201" s="16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</row>
    <row r="1202">
      <c r="A1202" s="14"/>
      <c r="B1202" s="15"/>
      <c r="C1202" s="16"/>
      <c r="D1202" s="16"/>
      <c r="E1202" s="16"/>
      <c r="F1202" s="9"/>
      <c r="G1202" s="16"/>
      <c r="H1202" s="9"/>
      <c r="I1202" s="16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</row>
    <row r="1203">
      <c r="A1203" s="14"/>
      <c r="B1203" s="15"/>
      <c r="C1203" s="16"/>
      <c r="D1203" s="16"/>
      <c r="E1203" s="16"/>
      <c r="F1203" s="9"/>
      <c r="G1203" s="16"/>
      <c r="H1203" s="9"/>
      <c r="I1203" s="16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</row>
    <row r="1204">
      <c r="A1204" s="14"/>
      <c r="B1204" s="15"/>
      <c r="C1204" s="16"/>
      <c r="D1204" s="16"/>
      <c r="E1204" s="16"/>
      <c r="F1204" s="9"/>
      <c r="G1204" s="16"/>
      <c r="H1204" s="9"/>
      <c r="I1204" s="16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</row>
    <row r="1205">
      <c r="A1205" s="14"/>
      <c r="B1205" s="15"/>
      <c r="C1205" s="16"/>
      <c r="D1205" s="16"/>
      <c r="E1205" s="16"/>
      <c r="F1205" s="9"/>
      <c r="G1205" s="16"/>
      <c r="H1205" s="9"/>
      <c r="I1205" s="16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</row>
    <row r="1206">
      <c r="A1206" s="14"/>
      <c r="B1206" s="15"/>
      <c r="C1206" s="16"/>
      <c r="D1206" s="16"/>
      <c r="E1206" s="16"/>
      <c r="F1206" s="9"/>
      <c r="G1206" s="16"/>
      <c r="H1206" s="9"/>
      <c r="I1206" s="16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</row>
    <row r="1207">
      <c r="A1207" s="14"/>
      <c r="B1207" s="15"/>
      <c r="C1207" s="16"/>
      <c r="D1207" s="16"/>
      <c r="E1207" s="16"/>
      <c r="F1207" s="9"/>
      <c r="G1207" s="16"/>
      <c r="H1207" s="9"/>
      <c r="I1207" s="16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</row>
    <row r="1208">
      <c r="A1208" s="14"/>
      <c r="B1208" s="15"/>
      <c r="C1208" s="16"/>
      <c r="D1208" s="16"/>
      <c r="E1208" s="16"/>
      <c r="F1208" s="9"/>
      <c r="G1208" s="16"/>
      <c r="H1208" s="9"/>
      <c r="I1208" s="16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</row>
    <row r="1209">
      <c r="A1209" s="14"/>
      <c r="B1209" s="15"/>
      <c r="C1209" s="16"/>
      <c r="D1209" s="16"/>
      <c r="E1209" s="16"/>
      <c r="F1209" s="9"/>
      <c r="G1209" s="16"/>
      <c r="H1209" s="9"/>
      <c r="I1209" s="16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</row>
    <row r="1210">
      <c r="A1210" s="14"/>
      <c r="B1210" s="15"/>
      <c r="C1210" s="16"/>
      <c r="D1210" s="16"/>
      <c r="E1210" s="16"/>
      <c r="F1210" s="9"/>
      <c r="G1210" s="16"/>
      <c r="H1210" s="9"/>
      <c r="I1210" s="16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</row>
    <row r="1211">
      <c r="A1211" s="14"/>
      <c r="B1211" s="15"/>
      <c r="C1211" s="16"/>
      <c r="D1211" s="16"/>
      <c r="E1211" s="16"/>
      <c r="F1211" s="9"/>
      <c r="G1211" s="16"/>
      <c r="H1211" s="9"/>
      <c r="I1211" s="16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</row>
    <row r="1212">
      <c r="A1212" s="14"/>
      <c r="B1212" s="15"/>
      <c r="C1212" s="16"/>
      <c r="D1212" s="16"/>
      <c r="E1212" s="16"/>
      <c r="F1212" s="9"/>
      <c r="G1212" s="16"/>
      <c r="H1212" s="9"/>
      <c r="I1212" s="16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</row>
    <row r="1213">
      <c r="A1213" s="14"/>
      <c r="B1213" s="15"/>
      <c r="C1213" s="16"/>
      <c r="D1213" s="16"/>
      <c r="E1213" s="16"/>
      <c r="F1213" s="9"/>
      <c r="G1213" s="16"/>
      <c r="H1213" s="9"/>
      <c r="I1213" s="16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</row>
    <row r="1214">
      <c r="A1214" s="14"/>
      <c r="B1214" s="15"/>
      <c r="C1214" s="16"/>
      <c r="D1214" s="16"/>
      <c r="E1214" s="16"/>
      <c r="F1214" s="9"/>
      <c r="G1214" s="16"/>
      <c r="H1214" s="9"/>
      <c r="I1214" s="16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</row>
    <row r="1215">
      <c r="A1215" s="14"/>
      <c r="B1215" s="15"/>
      <c r="C1215" s="16"/>
      <c r="D1215" s="16"/>
      <c r="E1215" s="16"/>
      <c r="F1215" s="9"/>
      <c r="G1215" s="16"/>
      <c r="H1215" s="9"/>
      <c r="I1215" s="16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</row>
    <row r="1216">
      <c r="A1216" s="14"/>
      <c r="B1216" s="15"/>
      <c r="C1216" s="16"/>
      <c r="D1216" s="16"/>
      <c r="E1216" s="16"/>
      <c r="F1216" s="9"/>
      <c r="G1216" s="16"/>
      <c r="H1216" s="9"/>
      <c r="I1216" s="16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</row>
    <row r="1217">
      <c r="A1217" s="14"/>
      <c r="B1217" s="15"/>
      <c r="C1217" s="16"/>
      <c r="D1217" s="16"/>
      <c r="E1217" s="16"/>
      <c r="F1217" s="9"/>
      <c r="G1217" s="16"/>
      <c r="H1217" s="9"/>
      <c r="I1217" s="16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</row>
  </sheetData>
  <conditionalFormatting sqref="B2:B1217">
    <cfRule type="colorScale" priority="1">
      <colorScale>
        <cfvo type="min"/>
        <cfvo type="max"/>
        <color rgb="FFE0FFCC"/>
        <color rgb="FF57FF53"/>
      </colorScale>
    </cfRule>
  </conditionalFormatting>
  <conditionalFormatting sqref="J1:J1217">
    <cfRule type="cellIs" dxfId="0" priority="2" operator="lessThan">
      <formula>0</formula>
    </cfRule>
  </conditionalFormatting>
  <conditionalFormatting sqref="J1:J1217">
    <cfRule type="cellIs" dxfId="1" priority="3" operator="greaterThan">
      <formula>0</formula>
    </cfRule>
  </conditionalFormatting>
  <conditionalFormatting sqref="C2:C1217">
    <cfRule type="notContainsBlanks" dxfId="2" priority="4">
      <formula>LEN(TRIM(C2))&gt;0</formula>
    </cfRule>
  </conditionalFormatting>
  <conditionalFormatting sqref="E2:E1217">
    <cfRule type="notContainsBlanks" dxfId="3" priority="5">
      <formula>LEN(TRIM(E2))&gt;0</formula>
    </cfRule>
  </conditionalFormatting>
  <conditionalFormatting sqref="G2:G1217">
    <cfRule type="notContainsBlanks" dxfId="4" priority="6">
      <formula>LEN(TRIM(G2))&gt;0</formula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6" width="20.0"/>
  </cols>
  <sheetData>
    <row r="1">
      <c r="A1" s="17" t="str">
        <f>IFERROR(__xludf.DUMMYFUNCTION("query('DATA SET 2'!A1:P217,""select *where O='GOOD STOCK' "",1)"),"Stock")</f>
        <v>Stock</v>
      </c>
      <c r="B1" s="17" t="str">
        <f>IFERROR(__xludf.DUMMYFUNCTION("""COMPUTED_VALUE"""),"Market cap (in Rs Cr.)")</f>
        <v>Market cap (in Rs Cr.)</v>
      </c>
      <c r="C1" s="17" t="str">
        <f>IFERROR(__xludf.DUMMYFUNCTION("""COMPUTED_VALUE"""),"Current price")</f>
        <v>Current price</v>
      </c>
      <c r="D1" s="17" t="str">
        <f>IFERROR(__xludf.DUMMYFUNCTION("""COMPUTED_VALUE"""),"PE Ratio")</f>
        <v>PE Ratio</v>
      </c>
      <c r="E1" s="17" t="str">
        <f>IFERROR(__xludf.DUMMYFUNCTION("""COMPUTED_VALUE"""),"52 Week High")</f>
        <v>52 Week High</v>
      </c>
      <c r="F1" s="17" t="str">
        <f>IFERROR(__xludf.DUMMYFUNCTION("""COMPUTED_VALUE"""),"% Below 52 week high")</f>
        <v>% Below 52 week high</v>
      </c>
      <c r="G1" s="17" t="str">
        <f>IFERROR(__xludf.DUMMYFUNCTION("""COMPUTED_VALUE"""),"52 Week Low")</f>
        <v>52 Week Low</v>
      </c>
      <c r="H1" s="17" t="str">
        <f>IFERROR(__xludf.DUMMYFUNCTION("""COMPUTED_VALUE"""),"% Above 52 Week low")</f>
        <v>% Above 52 Week low</v>
      </c>
      <c r="I1" s="17" t="str">
        <f>IFERROR(__xludf.DUMMYFUNCTION("""COMPUTED_VALUE"""),"Yesterday Closing Price")</f>
        <v>Yesterday Closing Price</v>
      </c>
      <c r="J1" s="17" t="str">
        <f>IFERROR(__xludf.DUMMYFUNCTION("""COMPUTED_VALUE"""),"% Change")</f>
        <v>% Change</v>
      </c>
      <c r="K1" s="17" t="str">
        <f>IFERROR(__xludf.DUMMYFUNCTION("""COMPUTED_VALUE"""),"INDUSTRY")</f>
        <v>INDUSTRY</v>
      </c>
      <c r="L1" s="17" t="str">
        <f>IFERROR(__xludf.DUMMYFUNCTION("""COMPUTED_VALUE"""),"NSE/BSE ")</f>
        <v>NSE/BSE </v>
      </c>
      <c r="M1" s="17" t="str">
        <f>IFERROR(__xludf.DUMMYFUNCTION("""COMPUTED_VALUE"""),"BEAR MODE 1")</f>
        <v>BEAR MODE 1</v>
      </c>
      <c r="N1" s="17" t="str">
        <f>IFERROR(__xludf.DUMMYFUNCTION("""COMPUTED_VALUE"""),"BEAR MODE 2")</f>
        <v>BEAR MODE 2</v>
      </c>
      <c r="O1" s="17" t="str">
        <f>IFERROR(__xludf.DUMMYFUNCTION("""COMPUTED_VALUE"""),"STOCK STATUS")</f>
        <v>STOCK STATUS</v>
      </c>
      <c r="P1" s="17" t="str">
        <f>IFERROR(__xludf.DUMMYFUNCTION("""COMPUTED_VALUE"""),"CAP SIZE")</f>
        <v>CAP SIZE</v>
      </c>
    </row>
    <row r="2">
      <c r="A2" s="18" t="str">
        <f>IFERROR(__xludf.DUMMYFUNCTION("""COMPUTED_VALUE"""),"HUL")</f>
        <v>HUL</v>
      </c>
      <c r="B2" s="19">
        <f>IFERROR(__xludf.DUMMYFUNCTION("""COMPUTED_VALUE"""),616301.326875)</f>
        <v>616301.3269</v>
      </c>
      <c r="C2" s="20">
        <f>IFERROR(__xludf.DUMMYFUNCTION("""COMPUTED_VALUE"""),2620.6)</f>
        <v>2620.6</v>
      </c>
      <c r="D2" s="21">
        <f>IFERROR(__xludf.DUMMYFUNCTION("""COMPUTED_VALUE"""),63.81)</f>
        <v>63.81</v>
      </c>
      <c r="E2" s="22">
        <f>IFERROR(__xludf.DUMMYFUNCTION("""COMPUTED_VALUE"""),2741.6)</f>
        <v>2741.6</v>
      </c>
      <c r="F2" s="23">
        <f>IFERROR(__xludf.DUMMYFUNCTION("""COMPUTED_VALUE"""),0.0441348117887365)</f>
        <v>0.04413481179</v>
      </c>
      <c r="G2" s="21">
        <f>IFERROR(__xludf.DUMMYFUNCTION("""COMPUTED_VALUE"""),1901.55)</f>
        <v>1901.55</v>
      </c>
      <c r="H2" s="23">
        <f>IFERROR(__xludf.DUMMYFUNCTION("""COMPUTED_VALUE"""),0.37813888669769397)</f>
        <v>0.3781388867</v>
      </c>
      <c r="I2" s="21">
        <f>IFERROR(__xludf.DUMMYFUNCTION("""COMPUTED_VALUE"""),2590.05)</f>
        <v>2590.05</v>
      </c>
      <c r="J2" s="23">
        <f>IFERROR(__xludf.DUMMYFUNCTION("""COMPUTED_VALUE"""),0.011795139089978852)</f>
        <v>0.01179513909</v>
      </c>
      <c r="K2" s="21" t="str">
        <f>IFERROR(__xludf.DUMMYFUNCTION("""COMPUTED_VALUE"""),"FMCG")</f>
        <v>FMCG</v>
      </c>
      <c r="L2" s="21" t="str">
        <f>IFERROR(__xludf.DUMMYFUNCTION("""COMPUTED_VALUE"""),"HINDUNILVR")</f>
        <v>HINDUNILVR</v>
      </c>
      <c r="M2" s="21" t="str">
        <f>IFERROR(__xludf.DUMMYFUNCTION("""COMPUTED_VALUE"""),"NO")</f>
        <v>NO</v>
      </c>
      <c r="N2" s="21" t="str">
        <f>IFERROR(__xludf.DUMMYFUNCTION("""COMPUTED_VALUE"""),"NO")</f>
        <v>NO</v>
      </c>
      <c r="O2" s="21" t="str">
        <f>IFERROR(__xludf.DUMMYFUNCTION("""COMPUTED_VALUE"""),"GOOD STOCK")</f>
        <v>GOOD STOCK</v>
      </c>
      <c r="P2" s="21" t="str">
        <f>IFERROR(__xludf.DUMMYFUNCTION("""COMPUTED_VALUE"""),"Small cap stocks")</f>
        <v>Small cap stocks</v>
      </c>
    </row>
    <row r="3">
      <c r="A3" s="18" t="str">
        <f>IFERROR(__xludf.DUMMYFUNCTION("""COMPUTED_VALUE"""),"SBI Bank")</f>
        <v>SBI Bank</v>
      </c>
      <c r="B3" s="19">
        <f>IFERROR(__xludf.DUMMYFUNCTION("""COMPUTED_VALUE"""),535431.3246675)</f>
        <v>535431.3247</v>
      </c>
      <c r="C3" s="20">
        <f>IFERROR(__xludf.DUMMYFUNCTION("""COMPUTED_VALUE"""),600.05)</f>
        <v>600.05</v>
      </c>
      <c r="D3" s="21">
        <f>IFERROR(__xludf.DUMMYFUNCTION("""COMPUTED_VALUE"""),13.0)</f>
        <v>13</v>
      </c>
      <c r="E3" s="22">
        <f>IFERROR(__xludf.DUMMYFUNCTION("""COMPUTED_VALUE"""),629.65)</f>
        <v>629.65</v>
      </c>
      <c r="F3" s="23">
        <f>IFERROR(__xludf.DUMMYFUNCTION("""COMPUTED_VALUE"""),0.047010243786230484)</f>
        <v>0.04701024379</v>
      </c>
      <c r="G3" s="21">
        <f>IFERROR(__xludf.DUMMYFUNCTION("""COMPUTED_VALUE"""),425.0)</f>
        <v>425</v>
      </c>
      <c r="H3" s="23">
        <f>IFERROR(__xludf.DUMMYFUNCTION("""COMPUTED_VALUE"""),0.41188235294117637)</f>
        <v>0.4118823529</v>
      </c>
      <c r="I3" s="21">
        <f>IFERROR(__xludf.DUMMYFUNCTION("""COMPUTED_VALUE"""),595.0)</f>
        <v>595</v>
      </c>
      <c r="J3" s="23">
        <f>IFERROR(__xludf.DUMMYFUNCTION("""COMPUTED_VALUE"""),0.008487394957983117)</f>
        <v>0.008487394958</v>
      </c>
      <c r="K3" s="21" t="str">
        <f>IFERROR(__xludf.DUMMYFUNCTION("""COMPUTED_VALUE"""),"Bank")</f>
        <v>Bank</v>
      </c>
      <c r="L3" s="21" t="str">
        <f>IFERROR(__xludf.DUMMYFUNCTION("""COMPUTED_VALUE"""),"BOM:500112")</f>
        <v>BOM:500112</v>
      </c>
      <c r="M3" s="21" t="str">
        <f>IFERROR(__xludf.DUMMYFUNCTION("""COMPUTED_VALUE"""),"NO")</f>
        <v>NO</v>
      </c>
      <c r="N3" s="21" t="str">
        <f>IFERROR(__xludf.DUMMYFUNCTION("""COMPUTED_VALUE"""),"NO")</f>
        <v>NO</v>
      </c>
      <c r="O3" s="21" t="str">
        <f>IFERROR(__xludf.DUMMYFUNCTION("""COMPUTED_VALUE"""),"GOOD STOCK")</f>
        <v>GOOD STOCK</v>
      </c>
      <c r="P3" s="21" t="str">
        <f>IFERROR(__xludf.DUMMYFUNCTION("""COMPUTED_VALUE"""),"Small cap stocks")</f>
        <v>Small cap stocks</v>
      </c>
    </row>
    <row r="4">
      <c r="A4" s="18" t="str">
        <f>IFERROR(__xludf.DUMMYFUNCTION("""COMPUTED_VALUE"""),"L&amp;T")</f>
        <v>L&amp;T</v>
      </c>
      <c r="B4" s="19">
        <f>IFERROR(__xludf.DUMMYFUNCTION("""COMPUTED_VALUE"""),302617.166625)</f>
        <v>302617.1666</v>
      </c>
      <c r="C4" s="20">
        <f>IFERROR(__xludf.DUMMYFUNCTION("""COMPUTED_VALUE"""),2153.75)</f>
        <v>2153.75</v>
      </c>
      <c r="D4" s="21">
        <f>IFERROR(__xludf.DUMMYFUNCTION("""COMPUTED_VALUE"""),31.53)</f>
        <v>31.53</v>
      </c>
      <c r="E4" s="22">
        <f>IFERROR(__xludf.DUMMYFUNCTION("""COMPUTED_VALUE"""),2210.5)</f>
        <v>2210.5</v>
      </c>
      <c r="F4" s="23">
        <f>IFERROR(__xludf.DUMMYFUNCTION("""COMPUTED_VALUE"""),0.025672924677674736)</f>
        <v>0.02567292468</v>
      </c>
      <c r="G4" s="21">
        <f>IFERROR(__xludf.DUMMYFUNCTION("""COMPUTED_VALUE"""),1456.8)</f>
        <v>1456.8</v>
      </c>
      <c r="H4" s="23">
        <f>IFERROR(__xludf.DUMMYFUNCTION("""COMPUTED_VALUE"""),0.4784115870400879)</f>
        <v>0.478411587</v>
      </c>
      <c r="I4" s="21">
        <f>IFERROR(__xludf.DUMMYFUNCTION("""COMPUTED_VALUE"""),2160.2)</f>
        <v>2160.2</v>
      </c>
      <c r="J4" s="23">
        <f>IFERROR(__xludf.DUMMYFUNCTION("""COMPUTED_VALUE"""),-0.0029858346449401995)</f>
        <v>-0.002985834645</v>
      </c>
      <c r="K4" s="21" t="str">
        <f>IFERROR(__xludf.DUMMYFUNCTION("""COMPUTED_VALUE"""),"Infrastructure")</f>
        <v>Infrastructure</v>
      </c>
      <c r="L4" s="21" t="str">
        <f>IFERROR(__xludf.DUMMYFUNCTION("""COMPUTED_VALUE"""),"BOM:500510")</f>
        <v>BOM:500510</v>
      </c>
      <c r="M4" s="21" t="str">
        <f>IFERROR(__xludf.DUMMYFUNCTION("""COMPUTED_VALUE"""),"NO")</f>
        <v>NO</v>
      </c>
      <c r="N4" s="21" t="str">
        <f>IFERROR(__xludf.DUMMYFUNCTION("""COMPUTED_VALUE"""),"NO")</f>
        <v>NO</v>
      </c>
      <c r="O4" s="21" t="str">
        <f>IFERROR(__xludf.DUMMYFUNCTION("""COMPUTED_VALUE"""),"GOOD STOCK")</f>
        <v>GOOD STOCK</v>
      </c>
      <c r="P4" s="21" t="str">
        <f>IFERROR(__xludf.DUMMYFUNCTION("""COMPUTED_VALUE"""),"Small cap stocks")</f>
        <v>Small cap stocks</v>
      </c>
    </row>
    <row r="5">
      <c r="A5" s="18" t="str">
        <f>IFERROR(__xludf.DUMMYFUNCTION("""COMPUTED_VALUE"""),"Axis Bank")</f>
        <v>Axis Bank</v>
      </c>
      <c r="B5" s="19">
        <f>IFERROR(__xludf.DUMMYFUNCTION("""COMPUTED_VALUE"""),287213.2945283)</f>
        <v>287213.2945</v>
      </c>
      <c r="C5" s="20">
        <f>IFERROR(__xludf.DUMMYFUNCTION("""COMPUTED_VALUE"""),933.9)</f>
        <v>933.9</v>
      </c>
      <c r="D5" s="21">
        <f>IFERROR(__xludf.DUMMYFUNCTION("""COMPUTED_VALUE"""),15.67)</f>
        <v>15.67</v>
      </c>
      <c r="E5" s="22">
        <f>IFERROR(__xludf.DUMMYFUNCTION("""COMPUTED_VALUE"""),970.0)</f>
        <v>970</v>
      </c>
      <c r="F5" s="23">
        <f>IFERROR(__xludf.DUMMYFUNCTION("""COMPUTED_VALUE"""),0.03721649484536085)</f>
        <v>0.03721649485</v>
      </c>
      <c r="G5" s="21">
        <f>IFERROR(__xludf.DUMMYFUNCTION("""COMPUTED_VALUE"""),618.25)</f>
        <v>618.25</v>
      </c>
      <c r="H5" s="23">
        <f>IFERROR(__xludf.DUMMYFUNCTION("""COMPUTED_VALUE"""),0.5105539830165791)</f>
        <v>0.510553983</v>
      </c>
      <c r="I5" s="21">
        <f>IFERROR(__xludf.DUMMYFUNCTION("""COMPUTED_VALUE"""),935.55)</f>
        <v>935.55</v>
      </c>
      <c r="J5" s="23">
        <f>IFERROR(__xludf.DUMMYFUNCTION("""COMPUTED_VALUE"""),-0.0017636684303350728)</f>
        <v>-0.00176366843</v>
      </c>
      <c r="K5" s="21" t="str">
        <f>IFERROR(__xludf.DUMMYFUNCTION("""COMPUTED_VALUE"""),"Bank")</f>
        <v>Bank</v>
      </c>
      <c r="L5" s="21" t="str">
        <f>IFERROR(__xludf.DUMMYFUNCTION("""COMPUTED_VALUE"""),"AXISBANK")</f>
        <v>AXISBANK</v>
      </c>
      <c r="M5" s="21" t="str">
        <f>IFERROR(__xludf.DUMMYFUNCTION("""COMPUTED_VALUE"""),"NO")</f>
        <v>NO</v>
      </c>
      <c r="N5" s="21" t="str">
        <f>IFERROR(__xludf.DUMMYFUNCTION("""COMPUTED_VALUE"""),"NO")</f>
        <v>NO</v>
      </c>
      <c r="O5" s="21" t="str">
        <f>IFERROR(__xludf.DUMMYFUNCTION("""COMPUTED_VALUE"""),"GOOD STOCK")</f>
        <v>GOOD STOCK</v>
      </c>
      <c r="P5" s="21" t="str">
        <f>IFERROR(__xludf.DUMMYFUNCTION("""COMPUTED_VALUE"""),"Small cap stocks")</f>
        <v>Small cap stocks</v>
      </c>
    </row>
    <row r="6">
      <c r="A6" s="18" t="str">
        <f>IFERROR(__xludf.DUMMYFUNCTION("""COMPUTED_VALUE"""),"Sun pharma")</f>
        <v>Sun pharma</v>
      </c>
      <c r="B6" s="19">
        <f>IFERROR(__xludf.DUMMYFUNCTION("""COMPUTED_VALUE"""),247191.650802)</f>
        <v>247191.6508</v>
      </c>
      <c r="C6" s="20">
        <f>IFERROR(__xludf.DUMMYFUNCTION("""COMPUTED_VALUE"""),1031.05)</f>
        <v>1031.05</v>
      </c>
      <c r="D6" s="21">
        <f>IFERROR(__xludf.DUMMYFUNCTION("""COMPUTED_VALUE"""),60.4)</f>
        <v>60.4</v>
      </c>
      <c r="E6" s="22">
        <f>IFERROR(__xludf.DUMMYFUNCTION("""COMPUTED_VALUE"""),1070.95)</f>
        <v>1070.95</v>
      </c>
      <c r="F6" s="23">
        <f>IFERROR(__xludf.DUMMYFUNCTION("""COMPUTED_VALUE"""),0.03725664129978065)</f>
        <v>0.0372566413</v>
      </c>
      <c r="G6" s="21">
        <f>IFERROR(__xludf.DUMMYFUNCTION("""COMPUTED_VALUE"""),784.8)</f>
        <v>784.8</v>
      </c>
      <c r="H6" s="23">
        <f>IFERROR(__xludf.DUMMYFUNCTION("""COMPUTED_VALUE"""),0.3137742099898063)</f>
        <v>0.31377421</v>
      </c>
      <c r="I6" s="21">
        <f>IFERROR(__xludf.DUMMYFUNCTION("""COMPUTED_VALUE"""),1032.85)</f>
        <v>1032.85</v>
      </c>
      <c r="J6" s="23">
        <f>IFERROR(__xludf.DUMMYFUNCTION("""COMPUTED_VALUE"""),-0.0017427506414290116)</f>
        <v>-0.001742750641</v>
      </c>
      <c r="K6" s="21" t="str">
        <f>IFERROR(__xludf.DUMMYFUNCTION("""COMPUTED_VALUE"""),"Pharma")</f>
        <v>Pharma</v>
      </c>
      <c r="L6" s="21" t="str">
        <f>IFERROR(__xludf.DUMMYFUNCTION("""COMPUTED_VALUE"""),"SUNPHARMA")</f>
        <v>SUNPHARMA</v>
      </c>
      <c r="M6" s="21" t="str">
        <f>IFERROR(__xludf.DUMMYFUNCTION("""COMPUTED_VALUE"""),"NO")</f>
        <v>NO</v>
      </c>
      <c r="N6" s="21" t="str">
        <f>IFERROR(__xludf.DUMMYFUNCTION("""COMPUTED_VALUE"""),"NO")</f>
        <v>NO</v>
      </c>
      <c r="O6" s="21" t="str">
        <f>IFERROR(__xludf.DUMMYFUNCTION("""COMPUTED_VALUE"""),"GOOD STOCK")</f>
        <v>GOOD STOCK</v>
      </c>
      <c r="P6" s="21" t="str">
        <f>IFERROR(__xludf.DUMMYFUNCTION("""COMPUTED_VALUE"""),"Small cap stocks")</f>
        <v>Small cap stocks</v>
      </c>
    </row>
    <row r="7">
      <c r="A7" s="18" t="str">
        <f>IFERROR(__xludf.DUMMYFUNCTION("""COMPUTED_VALUE"""),"Ultratech Cement")</f>
        <v>Ultratech Cement</v>
      </c>
      <c r="B7" s="19">
        <f>IFERROR(__xludf.DUMMYFUNCTION("""COMPUTED_VALUE"""),208975.8)</f>
        <v>208975.8</v>
      </c>
      <c r="C7" s="20">
        <f>IFERROR(__xludf.DUMMYFUNCTION("""COMPUTED_VALUE"""),7244.95)</f>
        <v>7244.95</v>
      </c>
      <c r="D7" s="21">
        <f>IFERROR(__xludf.DUMMYFUNCTION("""COMPUTED_VALUE"""),31.35)</f>
        <v>31.35</v>
      </c>
      <c r="E7" s="22">
        <f>IFERROR(__xludf.DUMMYFUNCTION("""COMPUTED_VALUE"""),7946.0)</f>
        <v>7946</v>
      </c>
      <c r="F7" s="23">
        <f>IFERROR(__xludf.DUMMYFUNCTION("""COMPUTED_VALUE"""),0.08822678077019887)</f>
        <v>0.08822678077</v>
      </c>
      <c r="G7" s="21">
        <f>IFERROR(__xludf.DUMMYFUNCTION("""COMPUTED_VALUE"""),5157.05)</f>
        <v>5157.05</v>
      </c>
      <c r="H7" s="23">
        <f>IFERROR(__xludf.DUMMYFUNCTION("""COMPUTED_VALUE"""),0.4048632454600982)</f>
        <v>0.4048632455</v>
      </c>
      <c r="I7" s="21">
        <f>IFERROR(__xludf.DUMMYFUNCTION("""COMPUTED_VALUE"""),7153.35)</f>
        <v>7153.35</v>
      </c>
      <c r="J7" s="23">
        <f>IFERROR(__xludf.DUMMYFUNCTION("""COMPUTED_VALUE"""),0.012805189177098764)</f>
        <v>0.01280518918</v>
      </c>
      <c r="K7" s="21" t="str">
        <f>IFERROR(__xludf.DUMMYFUNCTION("""COMPUTED_VALUE"""),"Cement")</f>
        <v>Cement</v>
      </c>
      <c r="L7" s="21" t="str">
        <f>IFERROR(__xludf.DUMMYFUNCTION("""COMPUTED_VALUE"""),"ULTRACEMCO")</f>
        <v>ULTRACEMCO</v>
      </c>
      <c r="M7" s="21" t="str">
        <f>IFERROR(__xludf.DUMMYFUNCTION("""COMPUTED_VALUE"""),"NO")</f>
        <v>NO</v>
      </c>
      <c r="N7" s="21" t="str">
        <f>IFERROR(__xludf.DUMMYFUNCTION("""COMPUTED_VALUE"""),"NO")</f>
        <v>NO</v>
      </c>
      <c r="O7" s="21" t="str">
        <f>IFERROR(__xludf.DUMMYFUNCTION("""COMPUTED_VALUE"""),"GOOD STOCK")</f>
        <v>GOOD STOCK</v>
      </c>
      <c r="P7" s="21" t="str">
        <f>IFERROR(__xludf.DUMMYFUNCTION("""COMPUTED_VALUE"""),"Small cap stocks")</f>
        <v>Small cap stocks</v>
      </c>
    </row>
    <row r="8">
      <c r="A8" s="18" t="str">
        <f>IFERROR(__xludf.DUMMYFUNCTION("""COMPUTED_VALUE"""),"M&amp;M")</f>
        <v>M&amp;M</v>
      </c>
      <c r="B8" s="19">
        <f>IFERROR(__xludf.DUMMYFUNCTION("""COMPUTED_VALUE"""),158785.3716893)</f>
        <v>158785.3717</v>
      </c>
      <c r="C8" s="20">
        <f>IFERROR(__xludf.DUMMYFUNCTION("""COMPUTED_VALUE"""),1327.55)</f>
        <v>1327.55</v>
      </c>
      <c r="D8" s="21">
        <f>IFERROR(__xludf.DUMMYFUNCTION("""COMPUTED_VALUE"""),16.12)</f>
        <v>16.12</v>
      </c>
      <c r="E8" s="22">
        <f>IFERROR(__xludf.DUMMYFUNCTION("""COMPUTED_VALUE"""),1366.55)</f>
        <v>1366.55</v>
      </c>
      <c r="F8" s="23">
        <f>IFERROR(__xludf.DUMMYFUNCTION("""COMPUTED_VALUE"""),0.028539021623797154)</f>
        <v>0.02853902162</v>
      </c>
      <c r="G8" s="21">
        <f>IFERROR(__xludf.DUMMYFUNCTION("""COMPUTED_VALUE"""),671.15)</f>
        <v>671.15</v>
      </c>
      <c r="H8" s="23">
        <f>IFERROR(__xludf.DUMMYFUNCTION("""COMPUTED_VALUE"""),0.9780227966922447)</f>
        <v>0.9780227967</v>
      </c>
      <c r="I8" s="21">
        <f>IFERROR(__xludf.DUMMYFUNCTION("""COMPUTED_VALUE"""),1319.9)</f>
        <v>1319.9</v>
      </c>
      <c r="J8" s="23">
        <f>IFERROR(__xludf.DUMMYFUNCTION("""COMPUTED_VALUE"""),0.005795893628305071)</f>
        <v>0.005795893628</v>
      </c>
      <c r="K8" s="21" t="str">
        <f>IFERROR(__xludf.DUMMYFUNCTION("""COMPUTED_VALUE"""),"Automobile")</f>
        <v>Automobile</v>
      </c>
      <c r="L8" s="21" t="str">
        <f>IFERROR(__xludf.DUMMYFUNCTION("""COMPUTED_VALUE"""),"M&amp;M")</f>
        <v>M&amp;M</v>
      </c>
      <c r="M8" s="21" t="str">
        <f>IFERROR(__xludf.DUMMYFUNCTION("""COMPUTED_VALUE"""),"NO")</f>
        <v>NO</v>
      </c>
      <c r="N8" s="21" t="str">
        <f>IFERROR(__xludf.DUMMYFUNCTION("""COMPUTED_VALUE"""),"NO")</f>
        <v>NO</v>
      </c>
      <c r="O8" s="21" t="str">
        <f>IFERROR(__xludf.DUMMYFUNCTION("""COMPUTED_VALUE"""),"GOOD STOCK")</f>
        <v>GOOD STOCK</v>
      </c>
      <c r="P8" s="21" t="str">
        <f>IFERROR(__xludf.DUMMYFUNCTION("""COMPUTED_VALUE"""),"Small cap stocks")</f>
        <v>Small cap stocks</v>
      </c>
    </row>
    <row r="9">
      <c r="A9" s="18" t="str">
        <f>IFERROR(__xludf.DUMMYFUNCTION("""COMPUTED_VALUE"""),"Tata Steel")</f>
        <v>Tata Steel</v>
      </c>
      <c r="B9" s="19">
        <f>IFERROR(__xludf.DUMMYFUNCTION("""COMPUTED_VALUE"""),147293.6037181)</f>
        <v>147293.6037</v>
      </c>
      <c r="C9" s="20">
        <f>IFERROR(__xludf.DUMMYFUNCTION("""COMPUTED_VALUE"""),120.45)</f>
        <v>120.45</v>
      </c>
      <c r="D9" s="21">
        <f>IFERROR(__xludf.DUMMYFUNCTION("""COMPUTED_VALUE"""),5.13)</f>
        <v>5.13</v>
      </c>
      <c r="E9" s="22">
        <f>IFERROR(__xludf.DUMMYFUNCTION("""COMPUTED_VALUE"""),138.63)</f>
        <v>138.63</v>
      </c>
      <c r="F9" s="23">
        <f>IFERROR(__xludf.DUMMYFUNCTION("""COMPUTED_VALUE"""),0.1311404457909543)</f>
        <v>0.1311404458</v>
      </c>
      <c r="G9" s="21">
        <f>IFERROR(__xludf.DUMMYFUNCTION("""COMPUTED_VALUE"""),82.71)</f>
        <v>82.71</v>
      </c>
      <c r="H9" s="23">
        <f>IFERROR(__xludf.DUMMYFUNCTION("""COMPUTED_VALUE"""),0.45629307217990583)</f>
        <v>0.4562930722</v>
      </c>
      <c r="I9" s="21">
        <f>IFERROR(__xludf.DUMMYFUNCTION("""COMPUTED_VALUE"""),118.05)</f>
        <v>118.05</v>
      </c>
      <c r="J9" s="23">
        <f>IFERROR(__xludf.DUMMYFUNCTION("""COMPUTED_VALUE"""),0.020330368487928893)</f>
        <v>0.02033036849</v>
      </c>
      <c r="K9" s="21" t="str">
        <f>IFERROR(__xludf.DUMMYFUNCTION("""COMPUTED_VALUE"""),"Infrastructure")</f>
        <v>Infrastructure</v>
      </c>
      <c r="L9" s="21" t="str">
        <f>IFERROR(__xludf.DUMMYFUNCTION("""COMPUTED_VALUE"""),"BOM:500470")</f>
        <v>BOM:500470</v>
      </c>
      <c r="M9" s="21" t="str">
        <f>IFERROR(__xludf.DUMMYFUNCTION("""COMPUTED_VALUE"""),"NO")</f>
        <v>NO</v>
      </c>
      <c r="N9" s="21" t="str">
        <f>IFERROR(__xludf.DUMMYFUNCTION("""COMPUTED_VALUE"""),"NO")</f>
        <v>NO</v>
      </c>
      <c r="O9" s="21" t="str">
        <f>IFERROR(__xludf.DUMMYFUNCTION("""COMPUTED_VALUE"""),"GOOD STOCK")</f>
        <v>GOOD STOCK</v>
      </c>
      <c r="P9" s="21" t="str">
        <f>IFERROR(__xludf.DUMMYFUNCTION("""COMPUTED_VALUE"""),"Small cap stocks")</f>
        <v>Small cap stocks</v>
      </c>
    </row>
    <row r="10">
      <c r="A10" s="18" t="str">
        <f>IFERROR(__xludf.DUMMYFUNCTION("""COMPUTED_VALUE"""),"Ambuja Cement")</f>
        <v>Ambuja Cement</v>
      </c>
      <c r="B10" s="19">
        <f>IFERROR(__xludf.DUMMYFUNCTION("""COMPUTED_VALUE"""),102995.3567038)</f>
        <v>102995.3567</v>
      </c>
      <c r="C10" s="20">
        <f>IFERROR(__xludf.DUMMYFUNCTION("""COMPUTED_VALUE"""),518.7)</f>
        <v>518.7</v>
      </c>
      <c r="D10" s="21">
        <f>IFERROR(__xludf.DUMMYFUNCTION("""COMPUTED_VALUE"""),57.36)</f>
        <v>57.36</v>
      </c>
      <c r="E10" s="22">
        <f>IFERROR(__xludf.DUMMYFUNCTION("""COMPUTED_VALUE"""),598.15)</f>
        <v>598.15</v>
      </c>
      <c r="F10" s="23">
        <f>IFERROR(__xludf.DUMMYFUNCTION("""COMPUTED_VALUE"""),0.13282621416032755)</f>
        <v>0.1328262142</v>
      </c>
      <c r="G10" s="21">
        <f>IFERROR(__xludf.DUMMYFUNCTION("""COMPUTED_VALUE"""),274.0)</f>
        <v>274</v>
      </c>
      <c r="H10" s="23">
        <f>IFERROR(__xludf.DUMMYFUNCTION("""COMPUTED_VALUE"""),0.8930656934306571)</f>
        <v>0.8930656934</v>
      </c>
      <c r="I10" s="21">
        <f>IFERROR(__xludf.DUMMYFUNCTION("""COMPUTED_VALUE"""),510.4)</f>
        <v>510.4</v>
      </c>
      <c r="J10" s="23">
        <f>IFERROR(__xludf.DUMMYFUNCTION("""COMPUTED_VALUE"""),0.01626175548589355)</f>
        <v>0.01626175549</v>
      </c>
      <c r="K10" s="21" t="str">
        <f>IFERROR(__xludf.DUMMYFUNCTION("""COMPUTED_VALUE"""),"Cement")</f>
        <v>Cement</v>
      </c>
      <c r="L10" s="21" t="str">
        <f>IFERROR(__xludf.DUMMYFUNCTION("""COMPUTED_VALUE"""),"BOM:500425")</f>
        <v>BOM:500425</v>
      </c>
      <c r="M10" s="21" t="str">
        <f>IFERROR(__xludf.DUMMYFUNCTION("""COMPUTED_VALUE"""),"NO")</f>
        <v>NO</v>
      </c>
      <c r="N10" s="21" t="str">
        <f>IFERROR(__xludf.DUMMYFUNCTION("""COMPUTED_VALUE"""),"NO")</f>
        <v>NO</v>
      </c>
      <c r="O10" s="21" t="str">
        <f>IFERROR(__xludf.DUMMYFUNCTION("""COMPUTED_VALUE"""),"GOOD STOCK")</f>
        <v>GOOD STOCK</v>
      </c>
      <c r="P10" s="21" t="str">
        <f>IFERROR(__xludf.DUMMYFUNCTION("""COMPUTED_VALUE"""),"Small cap stocks")</f>
        <v>Small cap stocks</v>
      </c>
    </row>
    <row r="11">
      <c r="A11" s="18" t="str">
        <f>IFERROR(__xludf.DUMMYFUNCTION("""COMPUTED_VALUE"""),"Bank of Baroda")</f>
        <v>Bank of Baroda</v>
      </c>
      <c r="B11" s="19">
        <f>IFERROR(__xludf.DUMMYFUNCTION("""COMPUTED_VALUE"""),95565.8761753)</f>
        <v>95565.87618</v>
      </c>
      <c r="C11" s="20">
        <f>IFERROR(__xludf.DUMMYFUNCTION("""COMPUTED_VALUE"""),184.9)</f>
        <v>184.9</v>
      </c>
      <c r="D11" s="21">
        <f>IFERROR(__xludf.DUMMYFUNCTION("""COMPUTED_VALUE"""),9.72)</f>
        <v>9.72</v>
      </c>
      <c r="E11" s="22">
        <f>IFERROR(__xludf.DUMMYFUNCTION("""COMPUTED_VALUE"""),197.2)</f>
        <v>197.2</v>
      </c>
      <c r="F11" s="23">
        <f>IFERROR(__xludf.DUMMYFUNCTION("""COMPUTED_VALUE"""),0.06237322515212974)</f>
        <v>0.06237322515</v>
      </c>
      <c r="G11" s="21">
        <f>IFERROR(__xludf.DUMMYFUNCTION("""COMPUTED_VALUE"""),89.9)</f>
        <v>89.9</v>
      </c>
      <c r="H11" s="23">
        <f>IFERROR(__xludf.DUMMYFUNCTION("""COMPUTED_VALUE"""),1.0567296996662958)</f>
        <v>1.0567297</v>
      </c>
      <c r="I11" s="21">
        <f>IFERROR(__xludf.DUMMYFUNCTION("""COMPUTED_VALUE"""),181.8)</f>
        <v>181.8</v>
      </c>
      <c r="J11" s="23">
        <f>IFERROR(__xludf.DUMMYFUNCTION("""COMPUTED_VALUE"""),0.01705170517051702)</f>
        <v>0.01705170517</v>
      </c>
      <c r="K11" s="21" t="str">
        <f>IFERROR(__xludf.DUMMYFUNCTION("""COMPUTED_VALUE"""),"Bank")</f>
        <v>Bank</v>
      </c>
      <c r="L11" s="21" t="str">
        <f>IFERROR(__xludf.DUMMYFUNCTION("""COMPUTED_VALUE"""),"BOM:532134")</f>
        <v>BOM:532134</v>
      </c>
      <c r="M11" s="21" t="str">
        <f>IFERROR(__xludf.DUMMYFUNCTION("""COMPUTED_VALUE"""),"NO")</f>
        <v>NO</v>
      </c>
      <c r="N11" s="21" t="str">
        <f>IFERROR(__xludf.DUMMYFUNCTION("""COMPUTED_VALUE"""),"NO")</f>
        <v>NO</v>
      </c>
      <c r="O11" s="21" t="str">
        <f>IFERROR(__xludf.DUMMYFUNCTION("""COMPUTED_VALUE"""),"GOOD STOCK")</f>
        <v>GOOD STOCK</v>
      </c>
      <c r="P11" s="21" t="str">
        <f>IFERROR(__xludf.DUMMYFUNCTION("""COMPUTED_VALUE"""),"Small cap stocks")</f>
        <v>Small cap stocks</v>
      </c>
    </row>
    <row r="12">
      <c r="A12" s="18" t="str">
        <f>IFERROR(__xludf.DUMMYFUNCTION("""COMPUTED_VALUE"""),"Godrej Consumer")</f>
        <v>Godrej Consumer</v>
      </c>
      <c r="B12" s="19">
        <f>IFERROR(__xludf.DUMMYFUNCTION("""COMPUTED_VALUE"""),93678.862)</f>
        <v>93678.862</v>
      </c>
      <c r="C12" s="20">
        <f>IFERROR(__xludf.DUMMYFUNCTION("""COMPUTED_VALUE"""),916.75)</f>
        <v>916.75</v>
      </c>
      <c r="D12" s="21">
        <f>IFERROR(__xludf.DUMMYFUNCTION("""COMPUTED_VALUE"""),58.81)</f>
        <v>58.81</v>
      </c>
      <c r="E12" s="22">
        <f>IFERROR(__xludf.DUMMYFUNCTION("""COMPUTED_VALUE"""),955.65)</f>
        <v>955.65</v>
      </c>
      <c r="F12" s="23">
        <f>IFERROR(__xludf.DUMMYFUNCTION("""COMPUTED_VALUE"""),0.04070527912938835)</f>
        <v>0.04070527913</v>
      </c>
      <c r="G12" s="21">
        <f>IFERROR(__xludf.DUMMYFUNCTION("""COMPUTED_VALUE"""),660.2)</f>
        <v>660.2</v>
      </c>
      <c r="H12" s="23">
        <f>IFERROR(__xludf.DUMMYFUNCTION("""COMPUTED_VALUE"""),0.3885943653438351)</f>
        <v>0.3885943653</v>
      </c>
      <c r="I12" s="21">
        <f>IFERROR(__xludf.DUMMYFUNCTION("""COMPUTED_VALUE"""),914.9)</f>
        <v>914.9</v>
      </c>
      <c r="J12" s="23">
        <f>IFERROR(__xludf.DUMMYFUNCTION("""COMPUTED_VALUE"""),0.00202207891572852)</f>
        <v>0.002022078916</v>
      </c>
      <c r="K12" s="21" t="str">
        <f>IFERROR(__xludf.DUMMYFUNCTION("""COMPUTED_VALUE"""),"FMCG")</f>
        <v>FMCG</v>
      </c>
      <c r="L12" s="21" t="str">
        <f>IFERROR(__xludf.DUMMYFUNCTION("""COMPUTED_VALUE"""),"BOM:532424")</f>
        <v>BOM:532424</v>
      </c>
      <c r="M12" s="21" t="str">
        <f>IFERROR(__xludf.DUMMYFUNCTION("""COMPUTED_VALUE"""),"NO")</f>
        <v>NO</v>
      </c>
      <c r="N12" s="21" t="str">
        <f>IFERROR(__xludf.DUMMYFUNCTION("""COMPUTED_VALUE"""),"NO")</f>
        <v>NO</v>
      </c>
      <c r="O12" s="21" t="str">
        <f>IFERROR(__xludf.DUMMYFUNCTION("""COMPUTED_VALUE"""),"GOOD STOCK")</f>
        <v>GOOD STOCK</v>
      </c>
      <c r="P12" s="21" t="str">
        <f>IFERROR(__xludf.DUMMYFUNCTION("""COMPUTED_VALUE"""),"Small cap stocks")</f>
        <v>Small cap stocks</v>
      </c>
    </row>
    <row r="13">
      <c r="A13" s="18" t="str">
        <f>IFERROR(__xludf.DUMMYFUNCTION("""COMPUTED_VALUE"""),"Shree Cement")</f>
        <v>Shree Cement</v>
      </c>
      <c r="B13" s="19">
        <f>IFERROR(__xludf.DUMMYFUNCTION("""COMPUTED_VALUE"""),87098.03)</f>
        <v>87098.03</v>
      </c>
      <c r="C13" s="20">
        <f>IFERROR(__xludf.DUMMYFUNCTION("""COMPUTED_VALUE"""),24025.0)</f>
        <v>24025</v>
      </c>
      <c r="D13" s="21">
        <f>IFERROR(__xludf.DUMMYFUNCTION("""COMPUTED_VALUE"""),54.11)</f>
        <v>54.11</v>
      </c>
      <c r="E13" s="22">
        <f>IFERROR(__xludf.DUMMYFUNCTION("""COMPUTED_VALUE"""),27936.75)</f>
        <v>27936.75</v>
      </c>
      <c r="F13" s="23">
        <f>IFERROR(__xludf.DUMMYFUNCTION("""COMPUTED_VALUE"""),0.14002165606235514)</f>
        <v>0.1400216561</v>
      </c>
      <c r="G13" s="21">
        <f>IFERROR(__xludf.DUMMYFUNCTION("""COMPUTED_VALUE"""),17865.2)</f>
        <v>17865.2</v>
      </c>
      <c r="H13" s="23">
        <f>IFERROR(__xludf.DUMMYFUNCTION("""COMPUTED_VALUE"""),0.34479322929494205)</f>
        <v>0.3447932293</v>
      </c>
      <c r="I13" s="21">
        <f>IFERROR(__xludf.DUMMYFUNCTION("""COMPUTED_VALUE"""),23854.85)</f>
        <v>23854.85</v>
      </c>
      <c r="J13" s="23">
        <f>IFERROR(__xludf.DUMMYFUNCTION("""COMPUTED_VALUE"""),0.007132721438198163)</f>
        <v>0.007132721438</v>
      </c>
      <c r="K13" s="21" t="str">
        <f>IFERROR(__xludf.DUMMYFUNCTION("""COMPUTED_VALUE"""),"Cement")</f>
        <v>Cement</v>
      </c>
      <c r="L13" s="21" t="str">
        <f>IFERROR(__xludf.DUMMYFUNCTION("""COMPUTED_VALUE"""),"SHREECEM")</f>
        <v>SHREECEM</v>
      </c>
      <c r="M13" s="21" t="str">
        <f>IFERROR(__xludf.DUMMYFUNCTION("""COMPUTED_VALUE"""),"NO")</f>
        <v>NO</v>
      </c>
      <c r="N13" s="21" t="str">
        <f>IFERROR(__xludf.DUMMYFUNCTION("""COMPUTED_VALUE"""),"NO")</f>
        <v>NO</v>
      </c>
      <c r="O13" s="21" t="str">
        <f>IFERROR(__xludf.DUMMYFUNCTION("""COMPUTED_VALUE"""),"GOOD STOCK")</f>
        <v>GOOD STOCK</v>
      </c>
      <c r="P13" s="21" t="str">
        <f>IFERROR(__xludf.DUMMYFUNCTION("""COMPUTED_VALUE"""),"Small cap stocks")</f>
        <v>Small cap stocks</v>
      </c>
    </row>
    <row r="14">
      <c r="A14" s="18" t="str">
        <f>IFERROR(__xludf.DUMMYFUNCTION("""COMPUTED_VALUE"""),"Eicher Motor")</f>
        <v>Eicher Motor</v>
      </c>
      <c r="B14" s="19">
        <f>IFERROR(__xludf.DUMMYFUNCTION("""COMPUTED_VALUE"""),86543.2296232)</f>
        <v>86543.22962</v>
      </c>
      <c r="C14" s="20">
        <f>IFERROR(__xludf.DUMMYFUNCTION("""COMPUTED_VALUE"""),3164.9)</f>
        <v>3164.9</v>
      </c>
      <c r="D14" s="21">
        <f>IFERROR(__xludf.DUMMYFUNCTION("""COMPUTED_VALUE"""),37.12)</f>
        <v>37.12</v>
      </c>
      <c r="E14" s="22">
        <f>IFERROR(__xludf.DUMMYFUNCTION("""COMPUTED_VALUE"""),3889.65)</f>
        <v>3889.65</v>
      </c>
      <c r="F14" s="23">
        <f>IFERROR(__xludf.DUMMYFUNCTION("""COMPUTED_VALUE"""),0.18632781869834047)</f>
        <v>0.1863278187</v>
      </c>
      <c r="G14" s="21">
        <f>IFERROR(__xludf.DUMMYFUNCTION("""COMPUTED_VALUE"""),2159.55)</f>
        <v>2159.55</v>
      </c>
      <c r="H14" s="23">
        <f>IFERROR(__xludf.DUMMYFUNCTION("""COMPUTED_VALUE"""),0.4655368016484915)</f>
        <v>0.4655368016</v>
      </c>
      <c r="I14" s="21">
        <f>IFERROR(__xludf.DUMMYFUNCTION("""COMPUTED_VALUE"""),3103.25)</f>
        <v>3103.25</v>
      </c>
      <c r="J14" s="23">
        <f>IFERROR(__xludf.DUMMYFUNCTION("""COMPUTED_VALUE"""),0.019866269233867747)</f>
        <v>0.01986626923</v>
      </c>
      <c r="K14" s="21" t="str">
        <f>IFERROR(__xludf.DUMMYFUNCTION("""COMPUTED_VALUE"""),"Automobile")</f>
        <v>Automobile</v>
      </c>
      <c r="L14" s="21" t="str">
        <f>IFERROR(__xludf.DUMMYFUNCTION("""COMPUTED_VALUE"""),"EICHERMOT")</f>
        <v>EICHERMOT</v>
      </c>
      <c r="M14" s="21" t="str">
        <f>IFERROR(__xludf.DUMMYFUNCTION("""COMPUTED_VALUE"""),"NO")</f>
        <v>NO</v>
      </c>
      <c r="N14" s="21" t="str">
        <f>IFERROR(__xludf.DUMMYFUNCTION("""COMPUTED_VALUE"""),"NO")</f>
        <v>NO</v>
      </c>
      <c r="O14" s="21" t="str">
        <f>IFERROR(__xludf.DUMMYFUNCTION("""COMPUTED_VALUE"""),"GOOD STOCK")</f>
        <v>GOOD STOCK</v>
      </c>
      <c r="P14" s="21" t="str">
        <f>IFERROR(__xludf.DUMMYFUNCTION("""COMPUTED_VALUE"""),"Small cap stocks")</f>
        <v>Small cap stocks</v>
      </c>
    </row>
    <row r="15">
      <c r="A15" s="18" t="str">
        <f>IFERROR(__xludf.DUMMYFUNCTION("""COMPUTED_VALUE"""),"Varun Beverage")</f>
        <v>Varun Beverage</v>
      </c>
      <c r="B15" s="19">
        <f>IFERROR(__xludf.DUMMYFUNCTION("""COMPUTED_VALUE"""),73698.477067)</f>
        <v>73698.47707</v>
      </c>
      <c r="C15" s="20">
        <f>IFERROR(__xludf.DUMMYFUNCTION("""COMPUTED_VALUE"""),1134.8)</f>
        <v>1134.8</v>
      </c>
      <c r="D15" s="21">
        <f>IFERROR(__xludf.DUMMYFUNCTION("""COMPUTED_VALUE"""),51.22)</f>
        <v>51.22</v>
      </c>
      <c r="E15" s="22">
        <f>IFERROR(__xludf.DUMMYFUNCTION("""COMPUTED_VALUE"""),1432.05)</f>
        <v>1432.05</v>
      </c>
      <c r="F15" s="23">
        <f>IFERROR(__xludf.DUMMYFUNCTION("""COMPUTED_VALUE"""),0.20756956810167243)</f>
        <v>0.2075695681</v>
      </c>
      <c r="G15" s="21">
        <f>IFERROR(__xludf.DUMMYFUNCTION("""COMPUTED_VALUE"""),557.23)</f>
        <v>557.23</v>
      </c>
      <c r="H15" s="23">
        <f>IFERROR(__xludf.DUMMYFUNCTION("""COMPUTED_VALUE"""),1.036501983023168)</f>
        <v>1.036501983</v>
      </c>
      <c r="I15" s="21">
        <f>IFERROR(__xludf.DUMMYFUNCTION("""COMPUTED_VALUE"""),1187.3)</f>
        <v>1187.3</v>
      </c>
      <c r="J15" s="23">
        <f>IFERROR(__xludf.DUMMYFUNCTION("""COMPUTED_VALUE"""),-0.04421797355344058)</f>
        <v>-0.04421797355</v>
      </c>
      <c r="K15" s="21" t="str">
        <f>IFERROR(__xludf.DUMMYFUNCTION("""COMPUTED_VALUE"""),"Food")</f>
        <v>Food</v>
      </c>
      <c r="L15" s="21" t="str">
        <f>IFERROR(__xludf.DUMMYFUNCTION("""COMPUTED_VALUE"""),"BOM:540180")</f>
        <v>BOM:540180</v>
      </c>
      <c r="M15" s="21" t="str">
        <f>IFERROR(__xludf.DUMMYFUNCTION("""COMPUTED_VALUE"""),"NO")</f>
        <v>NO</v>
      </c>
      <c r="N15" s="21" t="str">
        <f>IFERROR(__xludf.DUMMYFUNCTION("""COMPUTED_VALUE"""),"NO")</f>
        <v>NO</v>
      </c>
      <c r="O15" s="21" t="str">
        <f>IFERROR(__xludf.DUMMYFUNCTION("""COMPUTED_VALUE"""),"GOOD STOCK")</f>
        <v>GOOD STOCK</v>
      </c>
      <c r="P15" s="21" t="str">
        <f>IFERROR(__xludf.DUMMYFUNCTION("""COMPUTED_VALUE"""),"Small cap stocks")</f>
        <v>Small cap stocks</v>
      </c>
    </row>
    <row r="16">
      <c r="A16" s="18" t="str">
        <f>IFERROR(__xludf.DUMMYFUNCTION("""COMPUTED_VALUE"""),"Yesbank")</f>
        <v>Yesbank</v>
      </c>
      <c r="B16" s="19">
        <f>IFERROR(__xludf.DUMMYFUNCTION("""COMPUTED_VALUE"""),57937.9387031)</f>
        <v>57937.9387</v>
      </c>
      <c r="C16" s="20">
        <f>IFERROR(__xludf.DUMMYFUNCTION("""COMPUTED_VALUE"""),20.15)</f>
        <v>20.15</v>
      </c>
      <c r="D16" s="21">
        <f>IFERROR(__xludf.DUMMYFUNCTION("""COMPUTED_VALUE"""),45.52)</f>
        <v>45.52</v>
      </c>
      <c r="E16" s="22">
        <f>IFERROR(__xludf.DUMMYFUNCTION("""COMPUTED_VALUE"""),24.75)</f>
        <v>24.75</v>
      </c>
      <c r="F16" s="23">
        <f>IFERROR(__xludf.DUMMYFUNCTION("""COMPUTED_VALUE"""),0.18585858585858592)</f>
        <v>0.1858585859</v>
      </c>
      <c r="G16" s="21">
        <f>IFERROR(__xludf.DUMMYFUNCTION("""COMPUTED_VALUE"""),12.11)</f>
        <v>12.11</v>
      </c>
      <c r="H16" s="23">
        <f>IFERROR(__xludf.DUMMYFUNCTION("""COMPUTED_VALUE"""),0.6639141205615193)</f>
        <v>0.6639141206</v>
      </c>
      <c r="I16" s="21">
        <f>IFERROR(__xludf.DUMMYFUNCTION("""COMPUTED_VALUE"""),19.9)</f>
        <v>19.9</v>
      </c>
      <c r="J16" s="23">
        <f>IFERROR(__xludf.DUMMYFUNCTION("""COMPUTED_VALUE"""),0.01256281407035176)</f>
        <v>0.01256281407</v>
      </c>
      <c r="K16" s="21" t="str">
        <f>IFERROR(__xludf.DUMMYFUNCTION("""COMPUTED_VALUE"""),"#N/A")</f>
        <v>#N/A</v>
      </c>
      <c r="L16" s="21" t="str">
        <f>IFERROR(__xludf.DUMMYFUNCTION("""COMPUTED_VALUE"""),"#N/A")</f>
        <v>#N/A</v>
      </c>
      <c r="M16" s="21" t="str">
        <f>IFERROR(__xludf.DUMMYFUNCTION("""COMPUTED_VALUE"""),"NO")</f>
        <v>NO</v>
      </c>
      <c r="N16" s="21" t="str">
        <f>IFERROR(__xludf.DUMMYFUNCTION("""COMPUTED_VALUE"""),"NO")</f>
        <v>NO</v>
      </c>
      <c r="O16" s="21" t="str">
        <f>IFERROR(__xludf.DUMMYFUNCTION("""COMPUTED_VALUE"""),"GOOD STOCK")</f>
        <v>GOOD STOCK</v>
      </c>
      <c r="P16" s="21" t="str">
        <f>IFERROR(__xludf.DUMMYFUNCTION("""COMPUTED_VALUE"""),"Small cap stocks")</f>
        <v>Small cap stocks</v>
      </c>
    </row>
    <row r="17">
      <c r="A17" s="18" t="str">
        <f>IFERROR(__xludf.DUMMYFUNCTION("""COMPUTED_VALUE"""),"PI industries")</f>
        <v>PI industries</v>
      </c>
      <c r="B17" s="19">
        <f>IFERROR(__xludf.DUMMYFUNCTION("""COMPUTED_VALUE"""),49475.63474)</f>
        <v>49475.63474</v>
      </c>
      <c r="C17" s="20">
        <f>IFERROR(__xludf.DUMMYFUNCTION("""COMPUTED_VALUE"""),3262.0)</f>
        <v>3262</v>
      </c>
      <c r="D17" s="21">
        <f>IFERROR(__xludf.DUMMYFUNCTION("""COMPUTED_VALUE"""),48.33)</f>
        <v>48.33</v>
      </c>
      <c r="E17" s="22">
        <f>IFERROR(__xludf.DUMMYFUNCTION("""COMPUTED_VALUE"""),3698.45)</f>
        <v>3698.45</v>
      </c>
      <c r="F17" s="23">
        <f>IFERROR(__xludf.DUMMYFUNCTION("""COMPUTED_VALUE"""),0.11800889561843471)</f>
        <v>0.1180088956</v>
      </c>
      <c r="G17" s="21">
        <f>IFERROR(__xludf.DUMMYFUNCTION("""COMPUTED_VALUE"""),2333.55)</f>
        <v>2333.55</v>
      </c>
      <c r="H17" s="23">
        <f>IFERROR(__xludf.DUMMYFUNCTION("""COMPUTED_VALUE"""),0.39787019776735005)</f>
        <v>0.3978701978</v>
      </c>
      <c r="I17" s="21">
        <f>IFERROR(__xludf.DUMMYFUNCTION("""COMPUTED_VALUE"""),3292.65)</f>
        <v>3292.65</v>
      </c>
      <c r="J17" s="23">
        <f>IFERROR(__xludf.DUMMYFUNCTION("""COMPUTED_VALUE"""),-0.009308611604634592)</f>
        <v>-0.009308611605</v>
      </c>
      <c r="K17" s="21" t="str">
        <f>IFERROR(__xludf.DUMMYFUNCTION("""COMPUTED_VALUE"""),"Agrochemical")</f>
        <v>Agrochemical</v>
      </c>
      <c r="L17" s="21" t="str">
        <f>IFERROR(__xludf.DUMMYFUNCTION("""COMPUTED_VALUE"""),"PIIND")</f>
        <v>PIIND</v>
      </c>
      <c r="M17" s="21" t="str">
        <f>IFERROR(__xludf.DUMMYFUNCTION("""COMPUTED_VALUE"""),"NO")</f>
        <v>NO</v>
      </c>
      <c r="N17" s="21" t="str">
        <f>IFERROR(__xludf.DUMMYFUNCTION("""COMPUTED_VALUE"""),"NO")</f>
        <v>NO</v>
      </c>
      <c r="O17" s="21" t="str">
        <f>IFERROR(__xludf.DUMMYFUNCTION("""COMPUTED_VALUE"""),"GOOD STOCK")</f>
        <v>GOOD STOCK</v>
      </c>
      <c r="P17" s="21" t="str">
        <f>IFERROR(__xludf.DUMMYFUNCTION("""COMPUTED_VALUE"""),"Small cap stocks")</f>
        <v>Small cap stocks</v>
      </c>
    </row>
    <row r="18">
      <c r="A18" s="18" t="str">
        <f>IFERROR(__xludf.DUMMYFUNCTION("""COMPUTED_VALUE"""),"TVS")</f>
        <v>TVS</v>
      </c>
      <c r="B18" s="19">
        <f>IFERROR(__xludf.DUMMYFUNCTION("""COMPUTED_VALUE"""),47610.86)</f>
        <v>47610.86</v>
      </c>
      <c r="C18" s="20">
        <f>IFERROR(__xludf.DUMMYFUNCTION("""COMPUTED_VALUE"""),999.5)</f>
        <v>999.5</v>
      </c>
      <c r="D18" s="21">
        <f>IFERROR(__xludf.DUMMYFUNCTION("""COMPUTED_VALUE"""),39.03)</f>
        <v>39.03</v>
      </c>
      <c r="E18" s="22">
        <f>IFERROR(__xludf.DUMMYFUNCTION("""COMPUTED_VALUE"""),1177.0)</f>
        <v>1177</v>
      </c>
      <c r="F18" s="23">
        <f>IFERROR(__xludf.DUMMYFUNCTION("""COMPUTED_VALUE"""),0.1508071367884452)</f>
        <v>0.1508071368</v>
      </c>
      <c r="G18" s="21">
        <f>IFERROR(__xludf.DUMMYFUNCTION("""COMPUTED_VALUE"""),513.0)</f>
        <v>513</v>
      </c>
      <c r="H18" s="23">
        <f>IFERROR(__xludf.DUMMYFUNCTION("""COMPUTED_VALUE"""),0.9483430799220273)</f>
        <v>0.9483430799</v>
      </c>
      <c r="I18" s="21">
        <f>IFERROR(__xludf.DUMMYFUNCTION("""COMPUTED_VALUE"""),1005.2)</f>
        <v>1005.2</v>
      </c>
      <c r="J18" s="23">
        <f>IFERROR(__xludf.DUMMYFUNCTION("""COMPUTED_VALUE"""),-0.005670513330680507)</f>
        <v>-0.005670513331</v>
      </c>
      <c r="K18" s="21" t="str">
        <f>IFERROR(__xludf.DUMMYFUNCTION("""COMPUTED_VALUE"""),"Automobile")</f>
        <v>Automobile</v>
      </c>
      <c r="L18" s="21" t="str">
        <f>IFERROR(__xludf.DUMMYFUNCTION("""COMPUTED_VALUE"""),"BOM:532343")</f>
        <v>BOM:532343</v>
      </c>
      <c r="M18" s="21" t="str">
        <f>IFERROR(__xludf.DUMMYFUNCTION("""COMPUTED_VALUE"""),"NO")</f>
        <v>NO</v>
      </c>
      <c r="N18" s="21" t="str">
        <f>IFERROR(__xludf.DUMMYFUNCTION("""COMPUTED_VALUE"""),"NO")</f>
        <v>NO</v>
      </c>
      <c r="O18" s="21" t="str">
        <f>IFERROR(__xludf.DUMMYFUNCTION("""COMPUTED_VALUE"""),"GOOD STOCK")</f>
        <v>GOOD STOCK</v>
      </c>
      <c r="P18" s="21" t="str">
        <f>IFERROR(__xludf.DUMMYFUNCTION("""COMPUTED_VALUE"""),"Small cap stocks")</f>
        <v>Small cap stocks</v>
      </c>
    </row>
    <row r="19">
      <c r="A19" s="18" t="str">
        <f>IFERROR(__xludf.DUMMYFUNCTION("""COMPUTED_VALUE"""),"Abbott India")</f>
        <v>Abbott India</v>
      </c>
      <c r="B19" s="19">
        <f>IFERROR(__xludf.DUMMYFUNCTION("""COMPUTED_VALUE"""),47348.12)</f>
        <v>47348.12</v>
      </c>
      <c r="C19" s="20">
        <f>IFERROR(__xludf.DUMMYFUNCTION("""COMPUTED_VALUE"""),22241.0)</f>
        <v>22241</v>
      </c>
      <c r="D19" s="21">
        <f>IFERROR(__xludf.DUMMYFUNCTION("""COMPUTED_VALUE"""),53.6)</f>
        <v>53.6</v>
      </c>
      <c r="E19" s="22">
        <f>IFERROR(__xludf.DUMMYFUNCTION("""COMPUTED_VALUE"""),22499.0)</f>
        <v>22499</v>
      </c>
      <c r="F19" s="23">
        <f>IFERROR(__xludf.DUMMYFUNCTION("""COMPUTED_VALUE"""),0.011467176318947508)</f>
        <v>0.01146717632</v>
      </c>
      <c r="G19" s="21">
        <f>IFERROR(__xludf.DUMMYFUNCTION("""COMPUTED_VALUE"""),15514.0)</f>
        <v>15514</v>
      </c>
      <c r="H19" s="23">
        <f>IFERROR(__xludf.DUMMYFUNCTION("""COMPUTED_VALUE"""),0.4336083537450045)</f>
        <v>0.4336083537</v>
      </c>
      <c r="I19" s="21">
        <f>IFERROR(__xludf.DUMMYFUNCTION("""COMPUTED_VALUE"""),22162.55)</f>
        <v>22162.55</v>
      </c>
      <c r="J19" s="23">
        <f>IFERROR(__xludf.DUMMYFUNCTION("""COMPUTED_VALUE"""),0.0035397551274560343)</f>
        <v>0.003539755127</v>
      </c>
      <c r="K19" s="21" t="str">
        <f>IFERROR(__xludf.DUMMYFUNCTION("""COMPUTED_VALUE"""),"Pharma")</f>
        <v>Pharma</v>
      </c>
      <c r="L19" s="21" t="str">
        <f>IFERROR(__xludf.DUMMYFUNCTION("""COMPUTED_VALUE"""),"ABBOTINDIA")</f>
        <v>ABBOTINDIA</v>
      </c>
      <c r="M19" s="21" t="str">
        <f>IFERROR(__xludf.DUMMYFUNCTION("""COMPUTED_VALUE"""),"NO")</f>
        <v>NO</v>
      </c>
      <c r="N19" s="21" t="str">
        <f>IFERROR(__xludf.DUMMYFUNCTION("""COMPUTED_VALUE"""),"NO")</f>
        <v>NO</v>
      </c>
      <c r="O19" s="21" t="str">
        <f>IFERROR(__xludf.DUMMYFUNCTION("""COMPUTED_VALUE"""),"GOOD STOCK")</f>
        <v>GOOD STOCK</v>
      </c>
      <c r="P19" s="21" t="str">
        <f>IFERROR(__xludf.DUMMYFUNCTION("""COMPUTED_VALUE"""),"Small cap stocks")</f>
        <v>Small cap stocks</v>
      </c>
    </row>
    <row r="20">
      <c r="A20" s="18" t="str">
        <f>IFERROR(__xludf.DUMMYFUNCTION("""COMPUTED_VALUE"""),"Balkrishna Industries")</f>
        <v>Balkrishna Industries</v>
      </c>
      <c r="B20" s="19">
        <f>IFERROR(__xludf.DUMMYFUNCTION("""COMPUTED_VALUE"""),43195.8704177)</f>
        <v>43195.87042</v>
      </c>
      <c r="C20" s="20">
        <f>IFERROR(__xludf.DUMMYFUNCTION("""COMPUTED_VALUE"""),2229.0)</f>
        <v>2229</v>
      </c>
      <c r="D20" s="21">
        <f>IFERROR(__xludf.DUMMYFUNCTION("""COMPUTED_VALUE"""),30.72)</f>
        <v>30.72</v>
      </c>
      <c r="E20" s="22">
        <f>IFERROR(__xludf.DUMMYFUNCTION("""COMPUTED_VALUE"""),2537.45)</f>
        <v>2537.45</v>
      </c>
      <c r="F20" s="23">
        <f>IFERROR(__xludf.DUMMYFUNCTION("""COMPUTED_VALUE"""),0.12155904549843341)</f>
        <v>0.1215590455</v>
      </c>
      <c r="G20" s="21">
        <f>IFERROR(__xludf.DUMMYFUNCTION("""COMPUTED_VALUE"""),1690.55)</f>
        <v>1690.55</v>
      </c>
      <c r="H20" s="23">
        <f>IFERROR(__xludf.DUMMYFUNCTION("""COMPUTED_VALUE"""),0.31850581171807996)</f>
        <v>0.3185058117</v>
      </c>
      <c r="I20" s="21">
        <f>IFERROR(__xludf.DUMMYFUNCTION("""COMPUTED_VALUE"""),2214.25)</f>
        <v>2214.25</v>
      </c>
      <c r="J20" s="23">
        <f>IFERROR(__xludf.DUMMYFUNCTION("""COMPUTED_VALUE"""),0.0066613977644800725)</f>
        <v>0.006661397764</v>
      </c>
      <c r="K20" s="21" t="str">
        <f>IFERROR(__xludf.DUMMYFUNCTION("""COMPUTED_VALUE"""),"Tyre")</f>
        <v>Tyre</v>
      </c>
      <c r="L20" s="21" t="str">
        <f>IFERROR(__xludf.DUMMYFUNCTION("""COMPUTED_VALUE"""),"BALKRISIND")</f>
        <v>BALKRISIND</v>
      </c>
      <c r="M20" s="21" t="str">
        <f>IFERROR(__xludf.DUMMYFUNCTION("""COMPUTED_VALUE"""),"NO")</f>
        <v>NO</v>
      </c>
      <c r="N20" s="21" t="str">
        <f>IFERROR(__xludf.DUMMYFUNCTION("""COMPUTED_VALUE"""),"NO")</f>
        <v>NO</v>
      </c>
      <c r="O20" s="21" t="str">
        <f>IFERROR(__xludf.DUMMYFUNCTION("""COMPUTED_VALUE"""),"GOOD STOCK")</f>
        <v>GOOD STOCK</v>
      </c>
      <c r="P20" s="21" t="str">
        <f>IFERROR(__xludf.DUMMYFUNCTION("""COMPUTED_VALUE"""),"Small cap stocks")</f>
        <v>Small cap stocks</v>
      </c>
    </row>
    <row r="21">
      <c r="A21" s="18" t="str">
        <f>IFERROR(__xludf.DUMMYFUNCTION("""COMPUTED_VALUE"""),"Polycab")</f>
        <v>Polycab</v>
      </c>
      <c r="B21" s="19">
        <f>IFERROR(__xludf.DUMMYFUNCTION("""COMPUTED_VALUE"""),39945.4022299)</f>
        <v>39945.40223</v>
      </c>
      <c r="C21" s="20">
        <f>IFERROR(__xludf.DUMMYFUNCTION("""COMPUTED_VALUE"""),2662.0)</f>
        <v>2662</v>
      </c>
      <c r="D21" s="21">
        <f>IFERROR(__xludf.DUMMYFUNCTION("""COMPUTED_VALUE"""),35.5)</f>
        <v>35.5</v>
      </c>
      <c r="E21" s="22">
        <f>IFERROR(__xludf.DUMMYFUNCTION("""COMPUTED_VALUE"""),3025.0)</f>
        <v>3025</v>
      </c>
      <c r="F21" s="23">
        <f>IFERROR(__xludf.DUMMYFUNCTION("""COMPUTED_VALUE"""),0.12)</f>
        <v>0.12</v>
      </c>
      <c r="G21" s="21">
        <f>IFERROR(__xludf.DUMMYFUNCTION("""COMPUTED_VALUE"""),2043.85)</f>
        <v>2043.85</v>
      </c>
      <c r="H21" s="23">
        <f>IFERROR(__xludf.DUMMYFUNCTION("""COMPUTED_VALUE"""),0.3024439171172053)</f>
        <v>0.3024439171</v>
      </c>
      <c r="I21" s="21">
        <f>IFERROR(__xludf.DUMMYFUNCTION("""COMPUTED_VALUE"""),2677.05)</f>
        <v>2677.05</v>
      </c>
      <c r="J21" s="23">
        <f>IFERROR(__xludf.DUMMYFUNCTION("""COMPUTED_VALUE"""),-0.005621859883080324)</f>
        <v>-0.005621859883</v>
      </c>
      <c r="K21" s="21" t="str">
        <f>IFERROR(__xludf.DUMMYFUNCTION("""COMPUTED_VALUE"""),"Consumer Electrical")</f>
        <v>Consumer Electrical</v>
      </c>
      <c r="L21" s="21" t="str">
        <f>IFERROR(__xludf.DUMMYFUNCTION("""COMPUTED_VALUE"""),"POLYCAB")</f>
        <v>POLYCAB</v>
      </c>
      <c r="M21" s="21" t="str">
        <f>IFERROR(__xludf.DUMMYFUNCTION("""COMPUTED_VALUE"""),"NO")</f>
        <v>NO</v>
      </c>
      <c r="N21" s="21" t="str">
        <f>IFERROR(__xludf.DUMMYFUNCTION("""COMPUTED_VALUE"""),"NO")</f>
        <v>NO</v>
      </c>
      <c r="O21" s="21" t="str">
        <f>IFERROR(__xludf.DUMMYFUNCTION("""COMPUTED_VALUE"""),"GOOD STOCK")</f>
        <v>GOOD STOCK</v>
      </c>
      <c r="P21" s="21" t="str">
        <f>IFERROR(__xludf.DUMMYFUNCTION("""COMPUTED_VALUE"""),"Small cap stocks")</f>
        <v>Small cap stocks</v>
      </c>
    </row>
    <row r="22">
      <c r="A22" s="18" t="str">
        <f>IFERROR(__xludf.DUMMYFUNCTION("""COMPUTED_VALUE"""),"Solar Industries")</f>
        <v>Solar Industries</v>
      </c>
      <c r="B22" s="19">
        <f>IFERROR(__xludf.DUMMYFUNCTION("""COMPUTED_VALUE"""),38859.14)</f>
        <v>38859.14</v>
      </c>
      <c r="C22" s="20">
        <f>IFERROR(__xludf.DUMMYFUNCTION("""COMPUTED_VALUE"""),4338.0)</f>
        <v>4338</v>
      </c>
      <c r="D22" s="21">
        <f>IFERROR(__xludf.DUMMYFUNCTION("""COMPUTED_VALUE"""),63.66)</f>
        <v>63.66</v>
      </c>
      <c r="E22" s="22">
        <f>IFERROR(__xludf.DUMMYFUNCTION("""COMPUTED_VALUE"""),4535.95)</f>
        <v>4535.95</v>
      </c>
      <c r="F22" s="23">
        <f>IFERROR(__xludf.DUMMYFUNCTION("""COMPUTED_VALUE"""),0.043640251766443594)</f>
        <v>0.04364025177</v>
      </c>
      <c r="G22" s="21">
        <f>IFERROR(__xludf.DUMMYFUNCTION("""COMPUTED_VALUE"""),2160.05)</f>
        <v>2160.05</v>
      </c>
      <c r="H22" s="23">
        <f>IFERROR(__xludf.DUMMYFUNCTION("""COMPUTED_VALUE"""),1.0082868452119162)</f>
        <v>1.008286845</v>
      </c>
      <c r="I22" s="21">
        <f>IFERROR(__xludf.DUMMYFUNCTION("""COMPUTED_VALUE"""),4340.15)</f>
        <v>4340.15</v>
      </c>
      <c r="J22" s="23">
        <f>IFERROR(__xludf.DUMMYFUNCTION("""COMPUTED_VALUE"""),-4.953745838276641E-4)</f>
        <v>-0.0004953745838</v>
      </c>
      <c r="K22" s="21" t="str">
        <f>IFERROR(__xludf.DUMMYFUNCTION("""COMPUTED_VALUE"""),"Defence")</f>
        <v>Defence</v>
      </c>
      <c r="L22" s="21" t="str">
        <f>IFERROR(__xludf.DUMMYFUNCTION("""COMPUTED_VALUE"""),"BOM:532725")</f>
        <v>BOM:532725</v>
      </c>
      <c r="M22" s="21" t="str">
        <f>IFERROR(__xludf.DUMMYFUNCTION("""COMPUTED_VALUE"""),"NO")</f>
        <v>NO</v>
      </c>
      <c r="N22" s="21" t="str">
        <f>IFERROR(__xludf.DUMMYFUNCTION("""COMPUTED_VALUE"""),"NO")</f>
        <v>NO</v>
      </c>
      <c r="O22" s="21" t="str">
        <f>IFERROR(__xludf.DUMMYFUNCTION("""COMPUTED_VALUE"""),"GOOD STOCK")</f>
        <v>GOOD STOCK</v>
      </c>
      <c r="P22" s="21" t="str">
        <f>IFERROR(__xludf.DUMMYFUNCTION("""COMPUTED_VALUE"""),"Small cap stocks")</f>
        <v>Small cap stocks</v>
      </c>
    </row>
    <row r="23">
      <c r="A23" s="18" t="str">
        <f>IFERROR(__xludf.DUMMYFUNCTION("""COMPUTED_VALUE"""),"APL Apollo")</f>
        <v>APL Apollo</v>
      </c>
      <c r="B23" s="19">
        <f>IFERROR(__xludf.DUMMYFUNCTION("""COMPUTED_VALUE"""),31477.05)</f>
        <v>31477.05</v>
      </c>
      <c r="C23" s="20">
        <f>IFERROR(__xludf.DUMMYFUNCTION("""COMPUTED_VALUE"""),1136.0)</f>
        <v>1136</v>
      </c>
      <c r="D23" s="21">
        <f>IFERROR(__xludf.DUMMYFUNCTION("""COMPUTED_VALUE"""),54.9)</f>
        <v>54.9</v>
      </c>
      <c r="E23" s="22">
        <f>IFERROR(__xludf.DUMMYFUNCTION("""COMPUTED_VALUE"""),1193.85)</f>
        <v>1193.85</v>
      </c>
      <c r="F23" s="23">
        <f>IFERROR(__xludf.DUMMYFUNCTION("""COMPUTED_VALUE"""),0.04845667378648902)</f>
        <v>0.04845667379</v>
      </c>
      <c r="G23" s="21">
        <f>IFERROR(__xludf.DUMMYFUNCTION("""COMPUTED_VALUE"""),771.0)</f>
        <v>771</v>
      </c>
      <c r="H23" s="23">
        <f>IFERROR(__xludf.DUMMYFUNCTION("""COMPUTED_VALUE"""),0.47341115434500647)</f>
        <v>0.4734111543</v>
      </c>
      <c r="I23" s="21">
        <f>IFERROR(__xludf.DUMMYFUNCTION("""COMPUTED_VALUE"""),1127.95)</f>
        <v>1127.95</v>
      </c>
      <c r="J23" s="23">
        <f>IFERROR(__xludf.DUMMYFUNCTION("""COMPUTED_VALUE"""),0.007136841172037727)</f>
        <v>0.007136841172</v>
      </c>
      <c r="K23" s="21" t="str">
        <f>IFERROR(__xludf.DUMMYFUNCTION("""COMPUTED_VALUE"""),"Steel")</f>
        <v>Steel</v>
      </c>
      <c r="L23" s="21" t="str">
        <f>IFERROR(__xludf.DUMMYFUNCTION("""COMPUTED_VALUE"""),"BOM:533758")</f>
        <v>BOM:533758</v>
      </c>
      <c r="M23" s="21" t="str">
        <f>IFERROR(__xludf.DUMMYFUNCTION("""COMPUTED_VALUE"""),"NO")</f>
        <v>NO</v>
      </c>
      <c r="N23" s="21" t="str">
        <f>IFERROR(__xludf.DUMMYFUNCTION("""COMPUTED_VALUE"""),"NO")</f>
        <v>NO</v>
      </c>
      <c r="O23" s="21" t="str">
        <f>IFERROR(__xludf.DUMMYFUNCTION("""COMPUTED_VALUE"""),"GOOD STOCK")</f>
        <v>GOOD STOCK</v>
      </c>
      <c r="P23" s="21" t="str">
        <f>IFERROR(__xludf.DUMMYFUNCTION("""COMPUTED_VALUE"""),"Small cap stocks")</f>
        <v>Small cap stocks</v>
      </c>
    </row>
    <row r="24">
      <c r="A24" s="18" t="str">
        <f>IFERROR(__xludf.DUMMYFUNCTION("""COMPUTED_VALUE"""),"Supreme Industries")</f>
        <v>Supreme Industries</v>
      </c>
      <c r="B24" s="19">
        <f>IFERROR(__xludf.DUMMYFUNCTION("""COMPUTED_VALUE"""),31369.92)</f>
        <v>31369.92</v>
      </c>
      <c r="C24" s="20">
        <f>IFERROR(__xludf.DUMMYFUNCTION("""COMPUTED_VALUE"""),2461.0)</f>
        <v>2461</v>
      </c>
      <c r="D24" s="21">
        <f>IFERROR(__xludf.DUMMYFUNCTION("""COMPUTED_VALUE"""),36.12)</f>
        <v>36.12</v>
      </c>
      <c r="E24" s="22">
        <f>IFERROR(__xludf.DUMMYFUNCTION("""COMPUTED_VALUE"""),2607.65)</f>
        <v>2607.65</v>
      </c>
      <c r="F24" s="23">
        <f>IFERROR(__xludf.DUMMYFUNCTION("""COMPUTED_VALUE"""),0.05623837554886587)</f>
        <v>0.05623837555</v>
      </c>
      <c r="G24" s="21">
        <f>IFERROR(__xludf.DUMMYFUNCTION("""COMPUTED_VALUE"""),1666.25)</f>
        <v>1666.25</v>
      </c>
      <c r="H24" s="23">
        <f>IFERROR(__xludf.DUMMYFUNCTION("""COMPUTED_VALUE"""),0.47696924231057763)</f>
        <v>0.4769692423</v>
      </c>
      <c r="I24" s="21">
        <f>IFERROR(__xludf.DUMMYFUNCTION("""COMPUTED_VALUE"""),2452.7)</f>
        <v>2452.7</v>
      </c>
      <c r="J24" s="23">
        <f>IFERROR(__xludf.DUMMYFUNCTION("""COMPUTED_VALUE"""),0.003384025767521581)</f>
        <v>0.003384025768</v>
      </c>
      <c r="K24" s="21" t="str">
        <f>IFERROR(__xludf.DUMMYFUNCTION("""COMPUTED_VALUE"""),"Plastic")</f>
        <v>Plastic</v>
      </c>
      <c r="L24" s="21" t="str">
        <f>IFERROR(__xludf.DUMMYFUNCTION("""COMPUTED_VALUE"""),"SUPREMEIND")</f>
        <v>SUPREMEIND</v>
      </c>
      <c r="M24" s="21" t="str">
        <f>IFERROR(__xludf.DUMMYFUNCTION("""COMPUTED_VALUE"""),"NO")</f>
        <v>NO</v>
      </c>
      <c r="N24" s="21" t="str">
        <f>IFERROR(__xludf.DUMMYFUNCTION("""COMPUTED_VALUE"""),"NO")</f>
        <v>NO</v>
      </c>
      <c r="O24" s="21" t="str">
        <f>IFERROR(__xludf.DUMMYFUNCTION("""COMPUTED_VALUE"""),"GOOD STOCK")</f>
        <v>GOOD STOCK</v>
      </c>
      <c r="P24" s="21" t="str">
        <f>IFERROR(__xludf.DUMMYFUNCTION("""COMPUTED_VALUE"""),"Small cap stocks")</f>
        <v>Small cap stocks</v>
      </c>
    </row>
    <row r="25">
      <c r="A25" s="18" t="str">
        <f>IFERROR(__xludf.DUMMYFUNCTION("""COMPUTED_VALUE"""),"Federal Bank")</f>
        <v>Federal Bank</v>
      </c>
      <c r="B25" s="19">
        <f>IFERROR(__xludf.DUMMYFUNCTION("""COMPUTED_VALUE"""),29278.4915846)</f>
        <v>29278.49158</v>
      </c>
      <c r="C25" s="20">
        <f>IFERROR(__xludf.DUMMYFUNCTION("""COMPUTED_VALUE"""),138.45)</f>
        <v>138.45</v>
      </c>
      <c r="D25" s="21">
        <f>IFERROR(__xludf.DUMMYFUNCTION("""COMPUTED_VALUE"""),11.78)</f>
        <v>11.78</v>
      </c>
      <c r="E25" s="22">
        <f>IFERROR(__xludf.DUMMYFUNCTION("""COMPUTED_VALUE"""),142.25)</f>
        <v>142.25</v>
      </c>
      <c r="F25" s="23">
        <f>IFERROR(__xludf.DUMMYFUNCTION("""COMPUTED_VALUE"""),0.0267135325131811)</f>
        <v>0.02671353251</v>
      </c>
      <c r="G25" s="21">
        <f>IFERROR(__xludf.DUMMYFUNCTION("""COMPUTED_VALUE"""),82.5)</f>
        <v>82.5</v>
      </c>
      <c r="H25" s="23">
        <f>IFERROR(__xludf.DUMMYFUNCTION("""COMPUTED_VALUE"""),0.678181818181818)</f>
        <v>0.6781818182</v>
      </c>
      <c r="I25" s="21">
        <f>IFERROR(__xludf.DUMMYFUNCTION("""COMPUTED_VALUE"""),135.05)</f>
        <v>135.05</v>
      </c>
      <c r="J25" s="23">
        <f>IFERROR(__xludf.DUMMYFUNCTION("""COMPUTED_VALUE"""),0.025175860792298978)</f>
        <v>0.02517586079</v>
      </c>
      <c r="K25" s="21" t="str">
        <f>IFERROR(__xludf.DUMMYFUNCTION("""COMPUTED_VALUE"""),"Bank")</f>
        <v>Bank</v>
      </c>
      <c r="L25" s="21" t="str">
        <f>IFERROR(__xludf.DUMMYFUNCTION("""COMPUTED_VALUE"""),"BOM:500469")</f>
        <v>BOM:500469</v>
      </c>
      <c r="M25" s="21" t="str">
        <f>IFERROR(__xludf.DUMMYFUNCTION("""COMPUTED_VALUE"""),"NO")</f>
        <v>NO</v>
      </c>
      <c r="N25" s="21" t="str">
        <f>IFERROR(__xludf.DUMMYFUNCTION("""COMPUTED_VALUE"""),"NO")</f>
        <v>NO</v>
      </c>
      <c r="O25" s="21" t="str">
        <f>IFERROR(__xludf.DUMMYFUNCTION("""COMPUTED_VALUE"""),"GOOD STOCK")</f>
        <v>GOOD STOCK</v>
      </c>
      <c r="P25" s="21" t="str">
        <f>IFERROR(__xludf.DUMMYFUNCTION("""COMPUTED_VALUE"""),"Small cap stocks")</f>
        <v>Small cap stocks</v>
      </c>
    </row>
    <row r="26">
      <c r="A26" s="18" t="str">
        <f>IFERROR(__xludf.DUMMYFUNCTION("""COMPUTED_VALUE"""),"Sumitomo Chemicals")</f>
        <v>Sumitomo Chemicals</v>
      </c>
      <c r="B26" s="19">
        <f>IFERROR(__xludf.DUMMYFUNCTION("""COMPUTED_VALUE"""),24637.83)</f>
        <v>24637.83</v>
      </c>
      <c r="C26" s="20">
        <f>IFERROR(__xludf.DUMMYFUNCTION("""COMPUTED_VALUE"""),493.2)</f>
        <v>493.2</v>
      </c>
      <c r="D26" s="21">
        <f>IFERROR(__xludf.DUMMYFUNCTION("""COMPUTED_VALUE"""),48.9)</f>
        <v>48.9</v>
      </c>
      <c r="E26" s="22">
        <f>IFERROR(__xludf.DUMMYFUNCTION("""COMPUTED_VALUE"""),540.8)</f>
        <v>540.8</v>
      </c>
      <c r="F26" s="23">
        <f>IFERROR(__xludf.DUMMYFUNCTION("""COMPUTED_VALUE"""),0.08801775147928989)</f>
        <v>0.08801775148</v>
      </c>
      <c r="G26" s="21">
        <f>IFERROR(__xludf.DUMMYFUNCTION("""COMPUTED_VALUE"""),351.5)</f>
        <v>351.5</v>
      </c>
      <c r="H26" s="23">
        <f>IFERROR(__xludf.DUMMYFUNCTION("""COMPUTED_VALUE"""),0.40312944523470834)</f>
        <v>0.4031294452</v>
      </c>
      <c r="I26" s="21">
        <f>IFERROR(__xludf.DUMMYFUNCTION("""COMPUTED_VALUE"""),487.95)</f>
        <v>487.95</v>
      </c>
      <c r="J26" s="23">
        <f>IFERROR(__xludf.DUMMYFUNCTION("""COMPUTED_VALUE"""),0.010759299108515218)</f>
        <v>0.01075929911</v>
      </c>
      <c r="K26" s="21" t="str">
        <f>IFERROR(__xludf.DUMMYFUNCTION("""COMPUTED_VALUE"""),"Agrochemical")</f>
        <v>Agrochemical</v>
      </c>
      <c r="L26" s="21" t="str">
        <f>IFERROR(__xludf.DUMMYFUNCTION("""COMPUTED_VALUE"""),"SUMICHEM")</f>
        <v>SUMICHEM</v>
      </c>
      <c r="M26" s="21" t="str">
        <f>IFERROR(__xludf.DUMMYFUNCTION("""COMPUTED_VALUE"""),"NO")</f>
        <v>NO</v>
      </c>
      <c r="N26" s="21" t="str">
        <f>IFERROR(__xludf.DUMMYFUNCTION("""COMPUTED_VALUE"""),"NO")</f>
        <v>NO</v>
      </c>
      <c r="O26" s="21" t="str">
        <f>IFERROR(__xludf.DUMMYFUNCTION("""COMPUTED_VALUE"""),"GOOD STOCK")</f>
        <v>GOOD STOCK</v>
      </c>
      <c r="P26" s="21" t="str">
        <f>IFERROR(__xludf.DUMMYFUNCTION("""COMPUTED_VALUE"""),"Small cap stocks")</f>
        <v>Small cap stocks</v>
      </c>
    </row>
    <row r="27">
      <c r="A27" s="18" t="str">
        <f>IFERROR(__xludf.DUMMYFUNCTION("""COMPUTED_VALUE"""),"J K Cement")</f>
        <v>J K Cement</v>
      </c>
      <c r="B27" s="19">
        <f>IFERROR(__xludf.DUMMYFUNCTION("""COMPUTED_VALUE"""),22430.59)</f>
        <v>22430.59</v>
      </c>
      <c r="C27" s="20">
        <f>IFERROR(__xludf.DUMMYFUNCTION("""COMPUTED_VALUE"""),2900.45)</f>
        <v>2900.45</v>
      </c>
      <c r="D27" s="21">
        <f>IFERROR(__xludf.DUMMYFUNCTION("""COMPUTED_VALUE"""),36.07)</f>
        <v>36.07</v>
      </c>
      <c r="E27" s="22">
        <f>IFERROR(__xludf.DUMMYFUNCTION("""COMPUTED_VALUE"""),3646.25)</f>
        <v>3646.25</v>
      </c>
      <c r="F27" s="23">
        <f>IFERROR(__xludf.DUMMYFUNCTION("""COMPUTED_VALUE"""),0.2045389098388756)</f>
        <v>0.2045389098</v>
      </c>
      <c r="G27" s="21">
        <f>IFERROR(__xludf.DUMMYFUNCTION("""COMPUTED_VALUE"""),2005.0)</f>
        <v>2005</v>
      </c>
      <c r="H27" s="23">
        <f>IFERROR(__xludf.DUMMYFUNCTION("""COMPUTED_VALUE"""),0.4466084788029924)</f>
        <v>0.4466084788</v>
      </c>
      <c r="I27" s="21">
        <f>IFERROR(__xludf.DUMMYFUNCTION("""COMPUTED_VALUE"""),2905.9)</f>
        <v>2905.9</v>
      </c>
      <c r="J27" s="23">
        <f>IFERROR(__xludf.DUMMYFUNCTION("""COMPUTED_VALUE"""),-0.0018754946832307625)</f>
        <v>-0.001875494683</v>
      </c>
      <c r="K27" s="21" t="str">
        <f>IFERROR(__xludf.DUMMYFUNCTION("""COMPUTED_VALUE"""),"Cement")</f>
        <v>Cement</v>
      </c>
      <c r="L27" s="21" t="str">
        <f>IFERROR(__xludf.DUMMYFUNCTION("""COMPUTED_VALUE"""),"BOM:532644")</f>
        <v>BOM:532644</v>
      </c>
      <c r="M27" s="21" t="str">
        <f>IFERROR(__xludf.DUMMYFUNCTION("""COMPUTED_VALUE"""),"NO")</f>
        <v>NO</v>
      </c>
      <c r="N27" s="21" t="str">
        <f>IFERROR(__xludf.DUMMYFUNCTION("""COMPUTED_VALUE"""),"NO")</f>
        <v>NO</v>
      </c>
      <c r="O27" s="21" t="str">
        <f>IFERROR(__xludf.DUMMYFUNCTION("""COMPUTED_VALUE"""),"GOOD STOCK")</f>
        <v>GOOD STOCK</v>
      </c>
      <c r="P27" s="21" t="str">
        <f>IFERROR(__xludf.DUMMYFUNCTION("""COMPUTED_VALUE"""),"Small cap stocks")</f>
        <v>Small cap stocks</v>
      </c>
    </row>
    <row r="28">
      <c r="A28" s="18" t="str">
        <f>IFERROR(__xludf.DUMMYFUNCTION("""COMPUTED_VALUE"""),"LIC Housing Finance")</f>
        <v>LIC Housing Finance</v>
      </c>
      <c r="B28" s="19">
        <f>IFERROR(__xludf.DUMMYFUNCTION("""COMPUTED_VALUE"""),22159.2659823)</f>
        <v>22159.26598</v>
      </c>
      <c r="C28" s="20">
        <f>IFERROR(__xludf.DUMMYFUNCTION("""COMPUTED_VALUE"""),402.9)</f>
        <v>402.9</v>
      </c>
      <c r="D28" s="21">
        <f>IFERROR(__xludf.DUMMYFUNCTION("""COMPUTED_VALUE"""),6.85)</f>
        <v>6.85</v>
      </c>
      <c r="E28" s="22">
        <f>IFERROR(__xludf.DUMMYFUNCTION("""COMPUTED_VALUE"""),443.5)</f>
        <v>443.5</v>
      </c>
      <c r="F28" s="23">
        <f>IFERROR(__xludf.DUMMYFUNCTION("""COMPUTED_VALUE"""),0.09154453213077796)</f>
        <v>0.09154453213</v>
      </c>
      <c r="G28" s="21">
        <f>IFERROR(__xludf.DUMMYFUNCTION("""COMPUTED_VALUE"""),291.75)</f>
        <v>291.75</v>
      </c>
      <c r="H28" s="23">
        <f>IFERROR(__xludf.DUMMYFUNCTION("""COMPUTED_VALUE"""),0.38097686375321327)</f>
        <v>0.3809768638</v>
      </c>
      <c r="I28" s="21">
        <f>IFERROR(__xludf.DUMMYFUNCTION("""COMPUTED_VALUE"""),400.2)</f>
        <v>400.2</v>
      </c>
      <c r="J28" s="23">
        <f>IFERROR(__xludf.DUMMYFUNCTION("""COMPUTED_VALUE"""),0.006746626686656643)</f>
        <v>0.006746626687</v>
      </c>
      <c r="K28" s="21" t="str">
        <f>IFERROR(__xludf.DUMMYFUNCTION("""COMPUTED_VALUE"""),"NBFC")</f>
        <v>NBFC</v>
      </c>
      <c r="L28" s="21" t="str">
        <f>IFERROR(__xludf.DUMMYFUNCTION("""COMPUTED_VALUE"""),"BOM:500253")</f>
        <v>BOM:500253</v>
      </c>
      <c r="M28" s="21" t="str">
        <f>IFERROR(__xludf.DUMMYFUNCTION("""COMPUTED_VALUE"""),"NO")</f>
        <v>NO</v>
      </c>
      <c r="N28" s="21" t="str">
        <f>IFERROR(__xludf.DUMMYFUNCTION("""COMPUTED_VALUE"""),"NO")</f>
        <v>NO</v>
      </c>
      <c r="O28" s="21" t="str">
        <f>IFERROR(__xludf.DUMMYFUNCTION("""COMPUTED_VALUE"""),"GOOD STOCK")</f>
        <v>GOOD STOCK</v>
      </c>
      <c r="P28" s="21" t="str">
        <f>IFERROR(__xludf.DUMMYFUNCTION("""COMPUTED_VALUE"""),"Small cap stocks")</f>
        <v>Small cap stocks</v>
      </c>
    </row>
    <row r="29">
      <c r="A29" s="18" t="str">
        <f>IFERROR(__xludf.DUMMYFUNCTION("""COMPUTED_VALUE"""),"Endurance Technology")</f>
        <v>Endurance Technology</v>
      </c>
      <c r="B29" s="19">
        <f>IFERROR(__xludf.DUMMYFUNCTION("""COMPUTED_VALUE"""),19679.44)</f>
        <v>19679.44</v>
      </c>
      <c r="C29" s="20">
        <f>IFERROR(__xludf.DUMMYFUNCTION("""COMPUTED_VALUE"""),1398.5)</f>
        <v>1398.5</v>
      </c>
      <c r="D29" s="21">
        <f>IFERROR(__xludf.DUMMYFUNCTION("""COMPUTED_VALUE"""),42.23)</f>
        <v>42.23</v>
      </c>
      <c r="E29" s="22">
        <f>IFERROR(__xludf.DUMMYFUNCTION("""COMPUTED_VALUE"""),1736.15)</f>
        <v>1736.15</v>
      </c>
      <c r="F29" s="23">
        <f>IFERROR(__xludf.DUMMYFUNCTION("""COMPUTED_VALUE"""),0.19448204360222335)</f>
        <v>0.1944820436</v>
      </c>
      <c r="G29" s="21">
        <f>IFERROR(__xludf.DUMMYFUNCTION("""COMPUTED_VALUE"""),1047.2)</f>
        <v>1047.2</v>
      </c>
      <c r="H29" s="23">
        <f>IFERROR(__xludf.DUMMYFUNCTION("""COMPUTED_VALUE"""),0.3354660045836516)</f>
        <v>0.3354660046</v>
      </c>
      <c r="I29" s="21">
        <f>IFERROR(__xludf.DUMMYFUNCTION("""COMPUTED_VALUE"""),1401.15)</f>
        <v>1401.15</v>
      </c>
      <c r="J29" s="23">
        <f>IFERROR(__xludf.DUMMYFUNCTION("""COMPUTED_VALUE"""),-0.001891303572065868)</f>
        <v>-0.001891303572</v>
      </c>
      <c r="K29" s="21" t="str">
        <f>IFERROR(__xludf.DUMMYFUNCTION("""COMPUTED_VALUE"""),"Automobile Ancilliary")</f>
        <v>Automobile Ancilliary</v>
      </c>
      <c r="L29" s="21" t="str">
        <f>IFERROR(__xludf.DUMMYFUNCTION("""COMPUTED_VALUE"""),"ENDURANCE")</f>
        <v>ENDURANCE</v>
      </c>
      <c r="M29" s="21" t="str">
        <f>IFERROR(__xludf.DUMMYFUNCTION("""COMPUTED_VALUE"""),"NO")</f>
        <v>NO</v>
      </c>
      <c r="N29" s="21" t="str">
        <f>IFERROR(__xludf.DUMMYFUNCTION("""COMPUTED_VALUE"""),"NO")</f>
        <v>NO</v>
      </c>
      <c r="O29" s="21" t="str">
        <f>IFERROR(__xludf.DUMMYFUNCTION("""COMPUTED_VALUE"""),"GOOD STOCK")</f>
        <v>GOOD STOCK</v>
      </c>
      <c r="P29" s="21" t="str">
        <f>IFERROR(__xludf.DUMMYFUNCTION("""COMPUTED_VALUE"""),"Small cap stocks")</f>
        <v>Small cap stocks</v>
      </c>
    </row>
    <row r="30">
      <c r="A30" s="18" t="str">
        <f>IFERROR(__xludf.DUMMYFUNCTION("""COMPUTED_VALUE"""),"KPIT")</f>
        <v>KPIT</v>
      </c>
      <c r="B30" s="19">
        <f>IFERROR(__xludf.DUMMYFUNCTION("""COMPUTED_VALUE"""),18827.9516699)</f>
        <v>18827.95167</v>
      </c>
      <c r="C30" s="20">
        <f>IFERROR(__xludf.DUMMYFUNCTION("""COMPUTED_VALUE"""),696.3)</f>
        <v>696.3</v>
      </c>
      <c r="D30" s="21">
        <f>IFERROR(__xludf.DUMMYFUNCTION("""COMPUTED_VALUE"""),59.82)</f>
        <v>59.82</v>
      </c>
      <c r="E30" s="22">
        <f>IFERROR(__xludf.DUMMYFUNCTION("""COMPUTED_VALUE"""),764.25)</f>
        <v>764.25</v>
      </c>
      <c r="F30" s="23">
        <f>IFERROR(__xludf.DUMMYFUNCTION("""COMPUTED_VALUE"""),0.08891069676153097)</f>
        <v>0.08891069676</v>
      </c>
      <c r="G30" s="21">
        <f>IFERROR(__xludf.DUMMYFUNCTION("""COMPUTED_VALUE"""),440.0)</f>
        <v>440</v>
      </c>
      <c r="H30" s="23">
        <f>IFERROR(__xludf.DUMMYFUNCTION("""COMPUTED_VALUE"""),0.5824999999999999)</f>
        <v>0.5825</v>
      </c>
      <c r="I30" s="21">
        <f>IFERROR(__xludf.DUMMYFUNCTION("""COMPUTED_VALUE"""),692.45)</f>
        <v>692.45</v>
      </c>
      <c r="J30" s="23">
        <f>IFERROR(__xludf.DUMMYFUNCTION("""COMPUTED_VALUE"""),0.005559968228752847)</f>
        <v>0.005559968229</v>
      </c>
      <c r="K30" s="21" t="str">
        <f>IFERROR(__xludf.DUMMYFUNCTION("""COMPUTED_VALUE"""),"IT")</f>
        <v>IT</v>
      </c>
      <c r="L30" s="21" t="str">
        <f>IFERROR(__xludf.DUMMYFUNCTION("""COMPUTED_VALUE"""),"BOM:542651")</f>
        <v>BOM:542651</v>
      </c>
      <c r="M30" s="21" t="str">
        <f>IFERROR(__xludf.DUMMYFUNCTION("""COMPUTED_VALUE"""),"NO")</f>
        <v>NO</v>
      </c>
      <c r="N30" s="21" t="str">
        <f>IFERROR(__xludf.DUMMYFUNCTION("""COMPUTED_VALUE"""),"NO")</f>
        <v>NO</v>
      </c>
      <c r="O30" s="21" t="str">
        <f>IFERROR(__xludf.DUMMYFUNCTION("""COMPUTED_VALUE"""),"GOOD STOCK")</f>
        <v>GOOD STOCK</v>
      </c>
      <c r="P30" s="21" t="str">
        <f>IFERROR(__xludf.DUMMYFUNCTION("""COMPUTED_VALUE"""),"Small cap stocks")</f>
        <v>Small cap stocks</v>
      </c>
    </row>
    <row r="31">
      <c r="A31" s="18" t="str">
        <f>IFERROR(__xludf.DUMMYFUNCTION("""COMPUTED_VALUE"""),"Fine Organics")</f>
        <v>Fine Organics</v>
      </c>
      <c r="B31" s="19">
        <f>IFERROR(__xludf.DUMMYFUNCTION("""COMPUTED_VALUE"""),17277.2)</f>
        <v>17277.2</v>
      </c>
      <c r="C31" s="20">
        <f>IFERROR(__xludf.DUMMYFUNCTION("""COMPUTED_VALUE"""),5630.0)</f>
        <v>5630</v>
      </c>
      <c r="D31" s="21">
        <f>IFERROR(__xludf.DUMMYFUNCTION("""COMPUTED_VALUE"""),32.19)</f>
        <v>32.19</v>
      </c>
      <c r="E31" s="22">
        <f>IFERROR(__xludf.DUMMYFUNCTION("""COMPUTED_VALUE"""),7328.75)</f>
        <v>7328.75</v>
      </c>
      <c r="F31" s="23">
        <f>IFERROR(__xludf.DUMMYFUNCTION("""COMPUTED_VALUE"""),0.23179259764625618)</f>
        <v>0.2317925976</v>
      </c>
      <c r="G31" s="21">
        <f>IFERROR(__xludf.DUMMYFUNCTION("""COMPUTED_VALUE"""),3457.1)</f>
        <v>3457.1</v>
      </c>
      <c r="H31" s="23">
        <f>IFERROR(__xludf.DUMMYFUNCTION("""COMPUTED_VALUE"""),0.6285325851146916)</f>
        <v>0.6285325851</v>
      </c>
      <c r="I31" s="21">
        <f>IFERROR(__xludf.DUMMYFUNCTION("""COMPUTED_VALUE"""),5672.25)</f>
        <v>5672.25</v>
      </c>
      <c r="J31" s="23">
        <f>IFERROR(__xludf.DUMMYFUNCTION("""COMPUTED_VALUE"""),-0.0074485433469963416)</f>
        <v>-0.007448543347</v>
      </c>
      <c r="K31" s="21" t="str">
        <f>IFERROR(__xludf.DUMMYFUNCTION("""COMPUTED_VALUE"""),"Chemical")</f>
        <v>Chemical</v>
      </c>
      <c r="L31" s="21" t="str">
        <f>IFERROR(__xludf.DUMMYFUNCTION("""COMPUTED_VALUE"""),"FINEORG")</f>
        <v>FINEORG</v>
      </c>
      <c r="M31" s="21" t="str">
        <f>IFERROR(__xludf.DUMMYFUNCTION("""COMPUTED_VALUE"""),"NO")</f>
        <v>NO</v>
      </c>
      <c r="N31" s="21" t="str">
        <f>IFERROR(__xludf.DUMMYFUNCTION("""COMPUTED_VALUE"""),"NO")</f>
        <v>NO</v>
      </c>
      <c r="O31" s="21" t="str">
        <f>IFERROR(__xludf.DUMMYFUNCTION("""COMPUTED_VALUE"""),"GOOD STOCK")</f>
        <v>GOOD STOCK</v>
      </c>
      <c r="P31" s="21" t="str">
        <f>IFERROR(__xludf.DUMMYFUNCTION("""COMPUTED_VALUE"""),"Small cap stocks")</f>
        <v>Small cap stocks</v>
      </c>
    </row>
    <row r="32">
      <c r="A32" s="18" t="str">
        <f>IFERROR(__xludf.DUMMYFUNCTION("""COMPUTED_VALUE"""),"Exide Battery")</f>
        <v>Exide Battery</v>
      </c>
      <c r="B32" s="19">
        <f>IFERROR(__xludf.DUMMYFUNCTION("""COMPUTED_VALUE"""),15554.9906858)</f>
        <v>15554.99069</v>
      </c>
      <c r="C32" s="20">
        <f>IFERROR(__xludf.DUMMYFUNCTION("""COMPUTED_VALUE"""),182.85)</f>
        <v>182.85</v>
      </c>
      <c r="D32" s="21">
        <f>IFERROR(__xludf.DUMMYFUNCTION("""COMPUTED_VALUE"""),3.39)</f>
        <v>3.39</v>
      </c>
      <c r="E32" s="22">
        <f>IFERROR(__xludf.DUMMYFUNCTION("""COMPUTED_VALUE"""),194.2)</f>
        <v>194.2</v>
      </c>
      <c r="F32" s="23">
        <f>IFERROR(__xludf.DUMMYFUNCTION("""COMPUTED_VALUE"""),0.05844490216271882)</f>
        <v>0.05844490216</v>
      </c>
      <c r="G32" s="21">
        <f>IFERROR(__xludf.DUMMYFUNCTION("""COMPUTED_VALUE"""),130.25)</f>
        <v>130.25</v>
      </c>
      <c r="H32" s="23">
        <f>IFERROR(__xludf.DUMMYFUNCTION("""COMPUTED_VALUE"""),0.4038387715930902)</f>
        <v>0.4038387716</v>
      </c>
      <c r="I32" s="21">
        <f>IFERROR(__xludf.DUMMYFUNCTION("""COMPUTED_VALUE"""),182.65)</f>
        <v>182.65</v>
      </c>
      <c r="J32" s="23">
        <f>IFERROR(__xludf.DUMMYFUNCTION("""COMPUTED_VALUE"""),0.001094990418833773)</f>
        <v>0.001094990419</v>
      </c>
      <c r="K32" s="21" t="str">
        <f>IFERROR(__xludf.DUMMYFUNCTION("""COMPUTED_VALUE"""),"Automobile Ancilliary")</f>
        <v>Automobile Ancilliary</v>
      </c>
      <c r="L32" s="21" t="str">
        <f>IFERROR(__xludf.DUMMYFUNCTION("""COMPUTED_VALUE"""),"EXIDEIND")</f>
        <v>EXIDEIND</v>
      </c>
      <c r="M32" s="21" t="str">
        <f>IFERROR(__xludf.DUMMYFUNCTION("""COMPUTED_VALUE"""),"NO")</f>
        <v>NO</v>
      </c>
      <c r="N32" s="21" t="str">
        <f>IFERROR(__xludf.DUMMYFUNCTION("""COMPUTED_VALUE"""),"NO")</f>
        <v>NO</v>
      </c>
      <c r="O32" s="21" t="str">
        <f>IFERROR(__xludf.DUMMYFUNCTION("""COMPUTED_VALUE"""),"GOOD STOCK")</f>
        <v>GOOD STOCK</v>
      </c>
      <c r="P32" s="21" t="str">
        <f>IFERROR(__xludf.DUMMYFUNCTION("""COMPUTED_VALUE"""),"Small cap stocks")</f>
        <v>Small cap stocks</v>
      </c>
    </row>
    <row r="33">
      <c r="A33" s="18" t="str">
        <f>IFERROR(__xludf.DUMMYFUNCTION("""COMPUTED_VALUE"""),"KEI Industries")</f>
        <v>KEI Industries</v>
      </c>
      <c r="B33" s="19">
        <f>IFERROR(__xludf.DUMMYFUNCTION("""COMPUTED_VALUE"""),12966.0743501)</f>
        <v>12966.07435</v>
      </c>
      <c r="C33" s="20">
        <f>IFERROR(__xludf.DUMMYFUNCTION("""COMPUTED_VALUE"""),1436.05)</f>
        <v>1436.05</v>
      </c>
      <c r="D33" s="21">
        <f>IFERROR(__xludf.DUMMYFUNCTION("""COMPUTED_VALUE"""),30.59)</f>
        <v>30.59</v>
      </c>
      <c r="E33" s="22">
        <f>IFERROR(__xludf.DUMMYFUNCTION("""COMPUTED_VALUE"""),1662.45)</f>
        <v>1662.45</v>
      </c>
      <c r="F33" s="23">
        <f>IFERROR(__xludf.DUMMYFUNCTION("""COMPUTED_VALUE"""),0.13618454690366633)</f>
        <v>0.1361845469</v>
      </c>
      <c r="G33" s="21">
        <f>IFERROR(__xludf.DUMMYFUNCTION("""COMPUTED_VALUE"""),905.2)</f>
        <v>905.2</v>
      </c>
      <c r="H33" s="23">
        <f>IFERROR(__xludf.DUMMYFUNCTION("""COMPUTED_VALUE"""),0.5864449845338046)</f>
        <v>0.5864449845</v>
      </c>
      <c r="I33" s="21">
        <f>IFERROR(__xludf.DUMMYFUNCTION("""COMPUTED_VALUE"""),1435.2)</f>
        <v>1435.2</v>
      </c>
      <c r="J33" s="23">
        <f>IFERROR(__xludf.DUMMYFUNCTION("""COMPUTED_VALUE"""),5.922519509475397E-4)</f>
        <v>0.0005922519509</v>
      </c>
      <c r="K33" s="21" t="str">
        <f>IFERROR(__xludf.DUMMYFUNCTION("""COMPUTED_VALUE"""),"Consumer Electrical")</f>
        <v>Consumer Electrical</v>
      </c>
      <c r="L33" s="21" t="str">
        <f>IFERROR(__xludf.DUMMYFUNCTION("""COMPUTED_VALUE"""),"BOM:517569")</f>
        <v>BOM:517569</v>
      </c>
      <c r="M33" s="21" t="str">
        <f>IFERROR(__xludf.DUMMYFUNCTION("""COMPUTED_VALUE"""),"NO")</f>
        <v>NO</v>
      </c>
      <c r="N33" s="21" t="str">
        <f>IFERROR(__xludf.DUMMYFUNCTION("""COMPUTED_VALUE"""),"NO")</f>
        <v>NO</v>
      </c>
      <c r="O33" s="21" t="str">
        <f>IFERROR(__xludf.DUMMYFUNCTION("""COMPUTED_VALUE"""),"GOOD STOCK")</f>
        <v>GOOD STOCK</v>
      </c>
      <c r="P33" s="21" t="str">
        <f>IFERROR(__xludf.DUMMYFUNCTION("""COMPUTED_VALUE"""),"Small cap stocks")</f>
        <v>Small cap stocks</v>
      </c>
    </row>
    <row r="34">
      <c r="A34" s="18" t="str">
        <f>IFERROR(__xludf.DUMMYFUNCTION("""COMPUTED_VALUE"""),"Finolex Industries")</f>
        <v>Finolex Industries</v>
      </c>
      <c r="B34" s="19">
        <f>IFERROR(__xludf.DUMMYFUNCTION("""COMPUTED_VALUE"""),10644.74)</f>
        <v>10644.74</v>
      </c>
      <c r="C34" s="20">
        <f>IFERROR(__xludf.DUMMYFUNCTION("""COMPUTED_VALUE"""),173.0)</f>
        <v>173</v>
      </c>
      <c r="D34" s="21">
        <f>IFERROR(__xludf.DUMMYFUNCTION("""COMPUTED_VALUE"""),15.85)</f>
        <v>15.85</v>
      </c>
      <c r="E34" s="22">
        <f>IFERROR(__xludf.DUMMYFUNCTION("""COMPUTED_VALUE"""),204.5)</f>
        <v>204.5</v>
      </c>
      <c r="F34" s="23">
        <f>IFERROR(__xludf.DUMMYFUNCTION("""COMPUTED_VALUE"""),0.15403422982885084)</f>
        <v>0.1540342298</v>
      </c>
      <c r="G34" s="21">
        <f>IFERROR(__xludf.DUMMYFUNCTION("""COMPUTED_VALUE"""),128.0)</f>
        <v>128</v>
      </c>
      <c r="H34" s="23">
        <f>IFERROR(__xludf.DUMMYFUNCTION("""COMPUTED_VALUE"""),0.3515625)</f>
        <v>0.3515625</v>
      </c>
      <c r="I34" s="21">
        <f>IFERROR(__xludf.DUMMYFUNCTION("""COMPUTED_VALUE"""),170.9)</f>
        <v>170.9</v>
      </c>
      <c r="J34" s="23">
        <f>IFERROR(__xludf.DUMMYFUNCTION("""COMPUTED_VALUE"""),0.012287887653598561)</f>
        <v>0.01228788765</v>
      </c>
      <c r="K34" s="21" t="str">
        <f>IFERROR(__xludf.DUMMYFUNCTION("""COMPUTED_VALUE"""),"Piping")</f>
        <v>Piping</v>
      </c>
      <c r="L34" s="21" t="str">
        <f>IFERROR(__xludf.DUMMYFUNCTION("""COMPUTED_VALUE"""),"BOM:500940")</f>
        <v>BOM:500940</v>
      </c>
      <c r="M34" s="21" t="str">
        <f>IFERROR(__xludf.DUMMYFUNCTION("""COMPUTED_VALUE"""),"NO")</f>
        <v>NO</v>
      </c>
      <c r="N34" s="21" t="str">
        <f>IFERROR(__xludf.DUMMYFUNCTION("""COMPUTED_VALUE"""),"NO")</f>
        <v>NO</v>
      </c>
      <c r="O34" s="21" t="str">
        <f>IFERROR(__xludf.DUMMYFUNCTION("""COMPUTED_VALUE"""),"GOOD STOCK")</f>
        <v>GOOD STOCK</v>
      </c>
      <c r="P34" s="21" t="str">
        <f>IFERROR(__xludf.DUMMYFUNCTION("""COMPUTED_VALUE"""),"Small cap stocks")</f>
        <v>Small cap stocks</v>
      </c>
    </row>
    <row r="35">
      <c r="A35" s="18" t="str">
        <f>IFERROR(__xludf.DUMMYFUNCTION("""COMPUTED_VALUE"""),"UTI AMC")</f>
        <v>UTI AMC</v>
      </c>
      <c r="B35" s="19">
        <f>IFERROR(__xludf.DUMMYFUNCTION("""COMPUTED_VALUE"""),10284.2865)</f>
        <v>10284.2865</v>
      </c>
      <c r="C35" s="20">
        <f>IFERROR(__xludf.DUMMYFUNCTION("""COMPUTED_VALUE"""),807.2)</f>
        <v>807.2</v>
      </c>
      <c r="D35" s="21">
        <f>IFERROR(__xludf.DUMMYFUNCTION("""COMPUTED_VALUE"""),21.59)</f>
        <v>21.59</v>
      </c>
      <c r="E35" s="22">
        <f>IFERROR(__xludf.DUMMYFUNCTION("""COMPUTED_VALUE"""),1096.05)</f>
        <v>1096.05</v>
      </c>
      <c r="F35" s="23">
        <f>IFERROR(__xludf.DUMMYFUNCTION("""COMPUTED_VALUE"""),0.263537247388349)</f>
        <v>0.2635372474</v>
      </c>
      <c r="G35" s="21">
        <f>IFERROR(__xludf.DUMMYFUNCTION("""COMPUTED_VALUE"""),595.0)</f>
        <v>595</v>
      </c>
      <c r="H35" s="23">
        <f>IFERROR(__xludf.DUMMYFUNCTION("""COMPUTED_VALUE"""),0.35663865546218493)</f>
        <v>0.3566386555</v>
      </c>
      <c r="I35" s="21">
        <f>IFERROR(__xludf.DUMMYFUNCTION("""COMPUTED_VALUE"""),812.9)</f>
        <v>812.9</v>
      </c>
      <c r="J35" s="23">
        <f>IFERROR(__xludf.DUMMYFUNCTION("""COMPUTED_VALUE"""),-0.007011932587033992)</f>
        <v>-0.007011932587</v>
      </c>
      <c r="K35" s="21" t="str">
        <f>IFERROR(__xludf.DUMMYFUNCTION("""COMPUTED_VALUE"""),"AMC")</f>
        <v>AMC</v>
      </c>
      <c r="L35" s="21" t="str">
        <f>IFERROR(__xludf.DUMMYFUNCTION("""COMPUTED_VALUE"""),"BOM:543238")</f>
        <v>BOM:543238</v>
      </c>
      <c r="M35" s="21" t="str">
        <f>IFERROR(__xludf.DUMMYFUNCTION("""COMPUTED_VALUE"""),"NO")</f>
        <v>NO</v>
      </c>
      <c r="N35" s="21" t="str">
        <f>IFERROR(__xludf.DUMMYFUNCTION("""COMPUTED_VALUE"""),"NO")</f>
        <v>NO</v>
      </c>
      <c r="O35" s="21" t="str">
        <f>IFERROR(__xludf.DUMMYFUNCTION("""COMPUTED_VALUE"""),"GOOD STOCK")</f>
        <v>GOOD STOCK</v>
      </c>
      <c r="P35" s="21" t="str">
        <f>IFERROR(__xludf.DUMMYFUNCTION("""COMPUTED_VALUE"""),"Small cap stocks")</f>
        <v>Small cap stocks</v>
      </c>
    </row>
    <row r="36">
      <c r="A36" s="18" t="str">
        <f>IFERROR(__xludf.DUMMYFUNCTION("""COMPUTED_VALUE"""),"HFCL")</f>
        <v>HFCL</v>
      </c>
      <c r="B36" s="19">
        <f>IFERROR(__xludf.DUMMYFUNCTION("""COMPUTED_VALUE"""),10126.79307)</f>
        <v>10126.79307</v>
      </c>
      <c r="C36" s="20">
        <f>IFERROR(__xludf.DUMMYFUNCTION("""COMPUTED_VALUE"""),73.6)</f>
        <v>73.6</v>
      </c>
      <c r="D36" s="21">
        <f>IFERROR(__xludf.DUMMYFUNCTION("""COMPUTED_VALUE"""),36.15)</f>
        <v>36.15</v>
      </c>
      <c r="E36" s="22">
        <f>IFERROR(__xludf.DUMMYFUNCTION("""COMPUTED_VALUE"""),101.35)</f>
        <v>101.35</v>
      </c>
      <c r="F36" s="23">
        <f>IFERROR(__xludf.DUMMYFUNCTION("""COMPUTED_VALUE"""),0.2738036507153429)</f>
        <v>0.2738036507</v>
      </c>
      <c r="G36" s="21">
        <f>IFERROR(__xludf.DUMMYFUNCTION("""COMPUTED_VALUE"""),51.55)</f>
        <v>51.55</v>
      </c>
      <c r="H36" s="23">
        <f>IFERROR(__xludf.DUMMYFUNCTION("""COMPUTED_VALUE"""),0.42774005819592625)</f>
        <v>0.4277400582</v>
      </c>
      <c r="I36" s="21">
        <f>IFERROR(__xludf.DUMMYFUNCTION("""COMPUTED_VALUE"""),72.4)</f>
        <v>72.4</v>
      </c>
      <c r="J36" s="23">
        <f>IFERROR(__xludf.DUMMYFUNCTION("""COMPUTED_VALUE"""),0.01657458563535896)</f>
        <v>0.01657458564</v>
      </c>
      <c r="K36" s="21" t="str">
        <f>IFERROR(__xludf.DUMMYFUNCTION("""COMPUTED_VALUE"""),"Telecom")</f>
        <v>Telecom</v>
      </c>
      <c r="L36" s="21" t="str">
        <f>IFERROR(__xludf.DUMMYFUNCTION("""COMPUTED_VALUE"""),"BOM:500183")</f>
        <v>BOM:500183</v>
      </c>
      <c r="M36" s="21" t="str">
        <f>IFERROR(__xludf.DUMMYFUNCTION("""COMPUTED_VALUE"""),"NO")</f>
        <v>NO</v>
      </c>
      <c r="N36" s="21" t="str">
        <f>IFERROR(__xludf.DUMMYFUNCTION("""COMPUTED_VALUE"""),"NO")</f>
        <v>NO</v>
      </c>
      <c r="O36" s="21" t="str">
        <f>IFERROR(__xludf.DUMMYFUNCTION("""COMPUTED_VALUE"""),"GOOD STOCK")</f>
        <v>GOOD STOCK</v>
      </c>
      <c r="P36" s="21" t="str">
        <f>IFERROR(__xludf.DUMMYFUNCTION("""COMPUTED_VALUE"""),"Small cap stocks")</f>
        <v>Small cap stocks</v>
      </c>
    </row>
    <row r="37">
      <c r="A37" s="18" t="str">
        <f>IFERROR(__xludf.DUMMYFUNCTION("""COMPUTED_VALUE"""),"Amara Raja Batter")</f>
        <v>Amara Raja Batter</v>
      </c>
      <c r="B37" s="19">
        <f>IFERROR(__xludf.DUMMYFUNCTION("""COMPUTED_VALUE"""),9847.33486)</f>
        <v>9847.33486</v>
      </c>
      <c r="C37" s="20">
        <f>IFERROR(__xludf.DUMMYFUNCTION("""COMPUTED_VALUE"""),576.5)</f>
        <v>576.5</v>
      </c>
      <c r="D37" s="21">
        <f>IFERROR(__xludf.DUMMYFUNCTION("""COMPUTED_VALUE"""),17.05)</f>
        <v>17.05</v>
      </c>
      <c r="E37" s="22">
        <f>IFERROR(__xludf.DUMMYFUNCTION("""COMPUTED_VALUE"""),668.15)</f>
        <v>668.15</v>
      </c>
      <c r="F37" s="23">
        <f>IFERROR(__xludf.DUMMYFUNCTION("""COMPUTED_VALUE"""),0.13716979720122724)</f>
        <v>0.1371697972</v>
      </c>
      <c r="G37" s="21">
        <f>IFERROR(__xludf.DUMMYFUNCTION("""COMPUTED_VALUE"""),438.05)</f>
        <v>438.05</v>
      </c>
      <c r="H37" s="23">
        <f>IFERROR(__xludf.DUMMYFUNCTION("""COMPUTED_VALUE"""),0.31605981052391274)</f>
        <v>0.3160598105</v>
      </c>
      <c r="I37" s="21">
        <f>IFERROR(__xludf.DUMMYFUNCTION("""COMPUTED_VALUE"""),590.95)</f>
        <v>590.95</v>
      </c>
      <c r="J37" s="23">
        <f>IFERROR(__xludf.DUMMYFUNCTION("""COMPUTED_VALUE"""),-0.02445215331246306)</f>
        <v>-0.02445215331</v>
      </c>
      <c r="K37" s="21" t="str">
        <f>IFERROR(__xludf.DUMMYFUNCTION("""COMPUTED_VALUE"""),"Automobile Ancilliary")</f>
        <v>Automobile Ancilliary</v>
      </c>
      <c r="L37" s="21" t="str">
        <f>IFERROR(__xludf.DUMMYFUNCTION("""COMPUTED_VALUE"""),"AMARAJABAT")</f>
        <v>AMARAJABAT</v>
      </c>
      <c r="M37" s="21" t="str">
        <f>IFERROR(__xludf.DUMMYFUNCTION("""COMPUTED_VALUE"""),"NO")</f>
        <v>NO</v>
      </c>
      <c r="N37" s="21" t="str">
        <f>IFERROR(__xludf.DUMMYFUNCTION("""COMPUTED_VALUE"""),"NO")</f>
        <v>NO</v>
      </c>
      <c r="O37" s="21" t="str">
        <f>IFERROR(__xludf.DUMMYFUNCTION("""COMPUTED_VALUE"""),"GOOD STOCK")</f>
        <v>GOOD STOCK</v>
      </c>
      <c r="P37" s="21" t="str">
        <f>IFERROR(__xludf.DUMMYFUNCTION("""COMPUTED_VALUE"""),"Small cap stocks")</f>
        <v>Small cap stocks</v>
      </c>
    </row>
    <row r="38">
      <c r="A38" s="18" t="str">
        <f>IFERROR(__xludf.DUMMYFUNCTION("""COMPUTED_VALUE"""),"Poly Medicure Ltd")</f>
        <v>Poly Medicure Ltd</v>
      </c>
      <c r="B38" s="19">
        <f>IFERROR(__xludf.DUMMYFUNCTION("""COMPUTED_VALUE"""),8584.669055)</f>
        <v>8584.669055</v>
      </c>
      <c r="C38" s="20">
        <f>IFERROR(__xludf.DUMMYFUNCTION("""COMPUTED_VALUE"""),891.5)</f>
        <v>891.5</v>
      </c>
      <c r="D38" s="21">
        <f>IFERROR(__xludf.DUMMYFUNCTION("""COMPUTED_VALUE"""),61.12)</f>
        <v>61.12</v>
      </c>
      <c r="E38" s="22">
        <f>IFERROR(__xludf.DUMMYFUNCTION("""COMPUTED_VALUE"""),1044.4)</f>
        <v>1044.4</v>
      </c>
      <c r="F38" s="23">
        <f>IFERROR(__xludf.DUMMYFUNCTION("""COMPUTED_VALUE"""),0.14639984680199164)</f>
        <v>0.1463998468</v>
      </c>
      <c r="G38" s="21">
        <f>IFERROR(__xludf.DUMMYFUNCTION("""COMPUTED_VALUE"""),652.3)</f>
        <v>652.3</v>
      </c>
      <c r="H38" s="23">
        <f>IFERROR(__xludf.DUMMYFUNCTION("""COMPUTED_VALUE"""),0.36670243752874454)</f>
        <v>0.3667024375</v>
      </c>
      <c r="I38" s="21">
        <f>IFERROR(__xludf.DUMMYFUNCTION("""COMPUTED_VALUE"""),897.9)</f>
        <v>897.9</v>
      </c>
      <c r="J38" s="23">
        <f>IFERROR(__xludf.DUMMYFUNCTION("""COMPUTED_VALUE"""),-0.00712774251030179)</f>
        <v>-0.00712774251</v>
      </c>
      <c r="K38" s="21" t="str">
        <f>IFERROR(__xludf.DUMMYFUNCTION("""COMPUTED_VALUE"""),"Healthcare")</f>
        <v>Healthcare</v>
      </c>
      <c r="L38" s="21" t="str">
        <f>IFERROR(__xludf.DUMMYFUNCTION("""COMPUTED_VALUE"""),"BOM:531768")</f>
        <v>BOM:531768</v>
      </c>
      <c r="M38" s="21" t="str">
        <f>IFERROR(__xludf.DUMMYFUNCTION("""COMPUTED_VALUE"""),"NO")</f>
        <v>NO</v>
      </c>
      <c r="N38" s="21" t="str">
        <f>IFERROR(__xludf.DUMMYFUNCTION("""COMPUTED_VALUE"""),"NO")</f>
        <v>NO</v>
      </c>
      <c r="O38" s="21" t="str">
        <f>IFERROR(__xludf.DUMMYFUNCTION("""COMPUTED_VALUE"""),"GOOD STOCK")</f>
        <v>GOOD STOCK</v>
      </c>
      <c r="P38" s="21" t="str">
        <f>IFERROR(__xludf.DUMMYFUNCTION("""COMPUTED_VALUE"""),"Small cap stocks")</f>
        <v>Small cap stocks</v>
      </c>
    </row>
    <row r="39">
      <c r="A39" s="18" t="str">
        <f>IFERROR(__xludf.DUMMYFUNCTION("""COMPUTED_VALUE"""),"Finolex Cable")</f>
        <v>Finolex Cable</v>
      </c>
      <c r="B39" s="19">
        <f>IFERROR(__xludf.DUMMYFUNCTION("""COMPUTED_VALUE"""),8463.6612353)</f>
        <v>8463.661235</v>
      </c>
      <c r="C39" s="20">
        <f>IFERROR(__xludf.DUMMYFUNCTION("""COMPUTED_VALUE"""),553.4)</f>
        <v>553.4</v>
      </c>
      <c r="D39" s="21">
        <f>IFERROR(__xludf.DUMMYFUNCTION("""COMPUTED_VALUE"""),15.6)</f>
        <v>15.6</v>
      </c>
      <c r="E39" s="22">
        <f>IFERROR(__xludf.DUMMYFUNCTION("""COMPUTED_VALUE"""),593.9)</f>
        <v>593.9</v>
      </c>
      <c r="F39" s="23">
        <f>IFERROR(__xludf.DUMMYFUNCTION("""COMPUTED_VALUE"""),0.06819329853510692)</f>
        <v>0.06819329854</v>
      </c>
      <c r="G39" s="21">
        <f>IFERROR(__xludf.DUMMYFUNCTION("""COMPUTED_VALUE"""),343.5)</f>
        <v>343.5</v>
      </c>
      <c r="H39" s="23">
        <f>IFERROR(__xludf.DUMMYFUNCTION("""COMPUTED_VALUE"""),0.6110625909752546)</f>
        <v>0.611062591</v>
      </c>
      <c r="I39" s="21">
        <f>IFERROR(__xludf.DUMMYFUNCTION("""COMPUTED_VALUE"""),539.85)</f>
        <v>539.85</v>
      </c>
      <c r="J39" s="23">
        <f>IFERROR(__xludf.DUMMYFUNCTION("""COMPUTED_VALUE"""),0.02509956469389637)</f>
        <v>0.02509956469</v>
      </c>
      <c r="K39" s="21" t="str">
        <f>IFERROR(__xludf.DUMMYFUNCTION("""COMPUTED_VALUE"""),"Consumer Electrical")</f>
        <v>Consumer Electrical</v>
      </c>
      <c r="L39" s="21" t="str">
        <f>IFERROR(__xludf.DUMMYFUNCTION("""COMPUTED_VALUE"""),"FINCABLES")</f>
        <v>FINCABLES</v>
      </c>
      <c r="M39" s="21" t="str">
        <f>IFERROR(__xludf.DUMMYFUNCTION("""COMPUTED_VALUE"""),"NO")</f>
        <v>NO</v>
      </c>
      <c r="N39" s="21" t="str">
        <f>IFERROR(__xludf.DUMMYFUNCTION("""COMPUTED_VALUE"""),"NO")</f>
        <v>NO</v>
      </c>
      <c r="O39" s="21" t="str">
        <f>IFERROR(__xludf.DUMMYFUNCTION("""COMPUTED_VALUE"""),"GOOD STOCK")</f>
        <v>GOOD STOCK</v>
      </c>
      <c r="P39" s="21" t="str">
        <f>IFERROR(__xludf.DUMMYFUNCTION("""COMPUTED_VALUE"""),"Small cap stocks")</f>
        <v>Small cap stocks</v>
      </c>
    </row>
    <row r="40">
      <c r="A40" s="18" t="str">
        <f>IFERROR(__xludf.DUMMYFUNCTION("""COMPUTED_VALUE"""),"Granules India")</f>
        <v>Granules India</v>
      </c>
      <c r="B40" s="19">
        <f>IFERROR(__xludf.DUMMYFUNCTION("""COMPUTED_VALUE"""),7705.431)</f>
        <v>7705.431</v>
      </c>
      <c r="C40" s="20">
        <f>IFERROR(__xludf.DUMMYFUNCTION("""COMPUTED_VALUE"""),318.6)</f>
        <v>318.6</v>
      </c>
      <c r="D40" s="21">
        <f>IFERROR(__xludf.DUMMYFUNCTION("""COMPUTED_VALUE"""),16.36)</f>
        <v>16.36</v>
      </c>
      <c r="E40" s="22">
        <f>IFERROR(__xludf.DUMMYFUNCTION("""COMPUTED_VALUE"""),381.25)</f>
        <v>381.25</v>
      </c>
      <c r="F40" s="23">
        <f>IFERROR(__xludf.DUMMYFUNCTION("""COMPUTED_VALUE"""),0.16432786885245895)</f>
        <v>0.1643278689</v>
      </c>
      <c r="G40" s="21">
        <f>IFERROR(__xludf.DUMMYFUNCTION("""COMPUTED_VALUE"""),227.0)</f>
        <v>227</v>
      </c>
      <c r="H40" s="23">
        <f>IFERROR(__xludf.DUMMYFUNCTION("""COMPUTED_VALUE"""),0.40352422907489)</f>
        <v>0.4035242291</v>
      </c>
      <c r="I40" s="21">
        <f>IFERROR(__xludf.DUMMYFUNCTION("""COMPUTED_VALUE"""),318.15)</f>
        <v>318.15</v>
      </c>
      <c r="J40" s="23">
        <f>IFERROR(__xludf.DUMMYFUNCTION("""COMPUTED_VALUE"""),0.0014144271570015574)</f>
        <v>0.001414427157</v>
      </c>
      <c r="K40" s="21" t="str">
        <f>IFERROR(__xludf.DUMMYFUNCTION("""COMPUTED_VALUE"""),"Pharma")</f>
        <v>Pharma</v>
      </c>
      <c r="L40" s="21" t="str">
        <f>IFERROR(__xludf.DUMMYFUNCTION("""COMPUTED_VALUE"""),"BOM:532482")</f>
        <v>BOM:532482</v>
      </c>
      <c r="M40" s="21" t="str">
        <f>IFERROR(__xludf.DUMMYFUNCTION("""COMPUTED_VALUE"""),"NO")</f>
        <v>NO</v>
      </c>
      <c r="N40" s="21" t="str">
        <f>IFERROR(__xludf.DUMMYFUNCTION("""COMPUTED_VALUE"""),"NO")</f>
        <v>NO</v>
      </c>
      <c r="O40" s="21" t="str">
        <f>IFERROR(__xludf.DUMMYFUNCTION("""COMPUTED_VALUE"""),"GOOD STOCK")</f>
        <v>GOOD STOCK</v>
      </c>
      <c r="P40" s="21" t="str">
        <f>IFERROR(__xludf.DUMMYFUNCTION("""COMPUTED_VALUE"""),"Small cap stocks")</f>
        <v>Small cap stocks</v>
      </c>
    </row>
    <row r="41">
      <c r="A41" s="18" t="str">
        <f>IFERROR(__xludf.DUMMYFUNCTION("""COMPUTED_VALUE"""),"ICICI Bank")</f>
        <v>ICICI Bank</v>
      </c>
      <c r="B41" s="19">
        <f>IFERROR(__xludf.DUMMYFUNCTION("""COMPUTED_VALUE"""),7451.4657292)</f>
        <v>7451.465729</v>
      </c>
      <c r="C41" s="20">
        <f>IFERROR(__xludf.DUMMYFUNCTION("""COMPUTED_VALUE"""),873.25)</f>
        <v>873.25</v>
      </c>
      <c r="D41" s="21">
        <f>IFERROR(__xludf.DUMMYFUNCTION("""COMPUTED_VALUE"""),20.88)</f>
        <v>20.88</v>
      </c>
      <c r="E41" s="22">
        <f>IFERROR(__xludf.DUMMYFUNCTION("""COMPUTED_VALUE"""),958.0)</f>
        <v>958</v>
      </c>
      <c r="F41" s="23">
        <f>IFERROR(__xludf.DUMMYFUNCTION("""COMPUTED_VALUE"""),0.08846555323590814)</f>
        <v>0.08846555324</v>
      </c>
      <c r="G41" s="21">
        <f>IFERROR(__xludf.DUMMYFUNCTION("""COMPUTED_VALUE"""),642.0)</f>
        <v>642</v>
      </c>
      <c r="H41" s="23">
        <f>IFERROR(__xludf.DUMMYFUNCTION("""COMPUTED_VALUE"""),0.36020249221183803)</f>
        <v>0.3602024922</v>
      </c>
      <c r="I41" s="21">
        <f>IFERROR(__xludf.DUMMYFUNCTION("""COMPUTED_VALUE"""),861.2)</f>
        <v>861.2</v>
      </c>
      <c r="J41" s="23">
        <f>IFERROR(__xludf.DUMMYFUNCTION("""COMPUTED_VALUE"""),0.013992104040873147)</f>
        <v>0.01399210404</v>
      </c>
      <c r="K41" s="21" t="str">
        <f>IFERROR(__xludf.DUMMYFUNCTION("""COMPUTED_VALUE"""),"Bank")</f>
        <v>Bank</v>
      </c>
      <c r="L41" s="21" t="str">
        <f>IFERROR(__xludf.DUMMYFUNCTION("""COMPUTED_VALUE"""),"BOM:532174")</f>
        <v>BOM:532174</v>
      </c>
      <c r="M41" s="21" t="str">
        <f>IFERROR(__xludf.DUMMYFUNCTION("""COMPUTED_VALUE"""),"NO")</f>
        <v>NO</v>
      </c>
      <c r="N41" s="21" t="str">
        <f>IFERROR(__xludf.DUMMYFUNCTION("""COMPUTED_VALUE"""),"NO")</f>
        <v>NO</v>
      </c>
      <c r="O41" s="21" t="str">
        <f>IFERROR(__xludf.DUMMYFUNCTION("""COMPUTED_VALUE"""),"GOOD STOCK")</f>
        <v>GOOD STOCK</v>
      </c>
      <c r="P41" s="21" t="str">
        <f>IFERROR(__xludf.DUMMYFUNCTION("""COMPUTED_VALUE"""),"Small cap stocks")</f>
        <v>Small cap stocks</v>
      </c>
    </row>
    <row r="42">
      <c r="A42" s="18" t="str">
        <f>IFERROR(__xludf.DUMMYFUNCTION("""COMPUTED_VALUE"""),"craftsman automation")</f>
        <v>craftsman automation</v>
      </c>
      <c r="B42" s="19">
        <f>IFERROR(__xludf.DUMMYFUNCTION("""COMPUTED_VALUE"""),7324.341471)</f>
        <v>7324.341471</v>
      </c>
      <c r="C42" s="20">
        <f>IFERROR(__xludf.DUMMYFUNCTION("""COMPUTED_VALUE"""),3465.1)</f>
        <v>3465.1</v>
      </c>
      <c r="D42" s="21">
        <f>IFERROR(__xludf.DUMMYFUNCTION("""COMPUTED_VALUE"""),35.75)</f>
        <v>35.75</v>
      </c>
      <c r="E42" s="22">
        <f>IFERROR(__xludf.DUMMYFUNCTION("""COMPUTED_VALUE"""),3709.95)</f>
        <v>3709.95</v>
      </c>
      <c r="F42" s="23">
        <f>IFERROR(__xludf.DUMMYFUNCTION("""COMPUTED_VALUE"""),0.06599819404574184)</f>
        <v>0.06599819405</v>
      </c>
      <c r="G42" s="21">
        <f>IFERROR(__xludf.DUMMYFUNCTION("""COMPUTED_VALUE"""),1845.0)</f>
        <v>1845</v>
      </c>
      <c r="H42" s="23">
        <f>IFERROR(__xludf.DUMMYFUNCTION("""COMPUTED_VALUE"""),0.8781029810298102)</f>
        <v>0.878102981</v>
      </c>
      <c r="I42" s="21">
        <f>IFERROR(__xludf.DUMMYFUNCTION("""COMPUTED_VALUE"""),3461.8)</f>
        <v>3461.8</v>
      </c>
      <c r="J42" s="23">
        <f>IFERROR(__xludf.DUMMYFUNCTION("""COMPUTED_VALUE"""),9.532613091454524E-4)</f>
        <v>0.0009532613091</v>
      </c>
      <c r="K42" s="21" t="str">
        <f>IFERROR(__xludf.DUMMYFUNCTION("""COMPUTED_VALUE"""),"automobile")</f>
        <v>automobile</v>
      </c>
      <c r="L42" s="21" t="str">
        <f>IFERROR(__xludf.DUMMYFUNCTION("""COMPUTED_VALUE"""),"BOM:543276")</f>
        <v>BOM:543276</v>
      </c>
      <c r="M42" s="21" t="str">
        <f>IFERROR(__xludf.DUMMYFUNCTION("""COMPUTED_VALUE"""),"NO")</f>
        <v>NO</v>
      </c>
      <c r="N42" s="21" t="str">
        <f>IFERROR(__xludf.DUMMYFUNCTION("""COMPUTED_VALUE"""),"NO")</f>
        <v>NO</v>
      </c>
      <c r="O42" s="21" t="str">
        <f>IFERROR(__xludf.DUMMYFUNCTION("""COMPUTED_VALUE"""),"GOOD STOCK")</f>
        <v>GOOD STOCK</v>
      </c>
      <c r="P42" s="21" t="str">
        <f>IFERROR(__xludf.DUMMYFUNCTION("""COMPUTED_VALUE"""),"Small cap stocks")</f>
        <v>Small cap stocks</v>
      </c>
    </row>
    <row r="43">
      <c r="A43" s="18" t="str">
        <f>IFERROR(__xludf.DUMMYFUNCTION("""COMPUTED_VALUE"""),"Cera Sanitaryware")</f>
        <v>Cera Sanitaryware</v>
      </c>
      <c r="B43" s="19">
        <f>IFERROR(__xludf.DUMMYFUNCTION("""COMPUTED_VALUE"""),6919.97)</f>
        <v>6919.97</v>
      </c>
      <c r="C43" s="20">
        <f>IFERROR(__xludf.DUMMYFUNCTION("""COMPUTED_VALUE"""),5294.0)</f>
        <v>5294</v>
      </c>
      <c r="D43" s="21">
        <f>IFERROR(__xludf.DUMMYFUNCTION("""COMPUTED_VALUE"""),37.0)</f>
        <v>37</v>
      </c>
      <c r="E43" s="22">
        <f>IFERROR(__xludf.DUMMYFUNCTION("""COMPUTED_VALUE"""),6067.95)</f>
        <v>6067.95</v>
      </c>
      <c r="F43" s="23">
        <f>IFERROR(__xludf.DUMMYFUNCTION("""COMPUTED_VALUE"""),0.1275471946868382)</f>
        <v>0.1275471947</v>
      </c>
      <c r="G43" s="21">
        <f>IFERROR(__xludf.DUMMYFUNCTION("""COMPUTED_VALUE"""),3518.6)</f>
        <v>3518.6</v>
      </c>
      <c r="H43" s="23">
        <f>IFERROR(__xludf.DUMMYFUNCTION("""COMPUTED_VALUE"""),0.5045756835104872)</f>
        <v>0.5045756835</v>
      </c>
      <c r="I43" s="21">
        <f>IFERROR(__xludf.DUMMYFUNCTION("""COMPUTED_VALUE"""),5320.0)</f>
        <v>5320</v>
      </c>
      <c r="J43" s="23">
        <f>IFERROR(__xludf.DUMMYFUNCTION("""COMPUTED_VALUE"""),-0.004887218045112782)</f>
        <v>-0.004887218045</v>
      </c>
      <c r="K43" s="21" t="str">
        <f>IFERROR(__xludf.DUMMYFUNCTION("""COMPUTED_VALUE"""),"Ceramics")</f>
        <v>Ceramics</v>
      </c>
      <c r="L43" s="21" t="str">
        <f>IFERROR(__xludf.DUMMYFUNCTION("""COMPUTED_VALUE"""),"BOM:532443")</f>
        <v>BOM:532443</v>
      </c>
      <c r="M43" s="21" t="str">
        <f>IFERROR(__xludf.DUMMYFUNCTION("""COMPUTED_VALUE"""),"NO")</f>
        <v>NO</v>
      </c>
      <c r="N43" s="21" t="str">
        <f>IFERROR(__xludf.DUMMYFUNCTION("""COMPUTED_VALUE"""),"NO")</f>
        <v>NO</v>
      </c>
      <c r="O43" s="21" t="str">
        <f>IFERROR(__xludf.DUMMYFUNCTION("""COMPUTED_VALUE"""),"GOOD STOCK")</f>
        <v>GOOD STOCK</v>
      </c>
      <c r="P43" s="21" t="str">
        <f>IFERROR(__xludf.DUMMYFUNCTION("""COMPUTED_VALUE"""),"Small cap stocks")</f>
        <v>Small cap stocks</v>
      </c>
    </row>
    <row r="44">
      <c r="A44" s="18" t="str">
        <f>IFERROR(__xludf.DUMMYFUNCTION("""COMPUTED_VALUE"""),"Data Pattern")</f>
        <v>Data Pattern</v>
      </c>
      <c r="B44" s="19">
        <f>IFERROR(__xludf.DUMMYFUNCTION("""COMPUTED_VALUE"""),6367.8328518)</f>
        <v>6367.832852</v>
      </c>
      <c r="C44" s="20">
        <f>IFERROR(__xludf.DUMMYFUNCTION("""COMPUTED_VALUE"""),1227.1)</f>
        <v>1227.1</v>
      </c>
      <c r="D44" s="21">
        <f>IFERROR(__xludf.DUMMYFUNCTION("""COMPUTED_VALUE"""),59.65)</f>
        <v>59.65</v>
      </c>
      <c r="E44" s="22">
        <f>IFERROR(__xludf.DUMMYFUNCTION("""COMPUTED_VALUE"""),1480.0)</f>
        <v>1480</v>
      </c>
      <c r="F44" s="23">
        <f>IFERROR(__xludf.DUMMYFUNCTION("""COMPUTED_VALUE"""),0.17087837837837844)</f>
        <v>0.1708783784</v>
      </c>
      <c r="G44" s="21">
        <f>IFERROR(__xludf.DUMMYFUNCTION("""COMPUTED_VALUE"""),575.0)</f>
        <v>575</v>
      </c>
      <c r="H44" s="23">
        <f>IFERROR(__xludf.DUMMYFUNCTION("""COMPUTED_VALUE"""),1.134086956521739)</f>
        <v>1.134086957</v>
      </c>
      <c r="I44" s="21">
        <f>IFERROR(__xludf.DUMMYFUNCTION("""COMPUTED_VALUE"""),1161.25)</f>
        <v>1161.25</v>
      </c>
      <c r="J44" s="23">
        <f>IFERROR(__xludf.DUMMYFUNCTION("""COMPUTED_VALUE"""),0.05670613562970929)</f>
        <v>0.05670613563</v>
      </c>
      <c r="K44" s="21" t="str">
        <f>IFERROR(__xludf.DUMMYFUNCTION("""COMPUTED_VALUE"""),"Technology")</f>
        <v>Technology</v>
      </c>
      <c r="L44" s="21" t="str">
        <f>IFERROR(__xludf.DUMMYFUNCTION("""COMPUTED_VALUE"""),"BOM:543428")</f>
        <v>BOM:543428</v>
      </c>
      <c r="M44" s="21" t="str">
        <f>IFERROR(__xludf.DUMMYFUNCTION("""COMPUTED_VALUE"""),"NO")</f>
        <v>NO</v>
      </c>
      <c r="N44" s="21" t="str">
        <f>IFERROR(__xludf.DUMMYFUNCTION("""COMPUTED_VALUE"""),"NO")</f>
        <v>NO</v>
      </c>
      <c r="O44" s="21" t="str">
        <f>IFERROR(__xludf.DUMMYFUNCTION("""COMPUTED_VALUE"""),"GOOD STOCK")</f>
        <v>GOOD STOCK</v>
      </c>
      <c r="P44" s="21" t="str">
        <f>IFERROR(__xludf.DUMMYFUNCTION("""COMPUTED_VALUE"""),"Small cap stocks")</f>
        <v>Small cap stocks</v>
      </c>
    </row>
    <row r="45">
      <c r="A45" s="18" t="str">
        <f>IFERROR(__xludf.DUMMYFUNCTION("""COMPUTED_VALUE"""),"Somany home innovation ltd")</f>
        <v>Somany home innovation ltd</v>
      </c>
      <c r="B45" s="19">
        <f>IFERROR(__xludf.DUMMYFUNCTION("""COMPUTED_VALUE"""),3335.191069)</f>
        <v>3335.191069</v>
      </c>
      <c r="C45" s="20">
        <f>IFERROR(__xludf.DUMMYFUNCTION("""COMPUTED_VALUE"""),462.25)</f>
        <v>462.25</v>
      </c>
      <c r="D45" s="21">
        <f>IFERROR(__xludf.DUMMYFUNCTION("""COMPUTED_VALUE"""),33.36)</f>
        <v>33.36</v>
      </c>
      <c r="E45" s="22">
        <f>IFERROR(__xludf.DUMMYFUNCTION("""COMPUTED_VALUE"""),480.4)</f>
        <v>480.4</v>
      </c>
      <c r="F45" s="23">
        <f>IFERROR(__xludf.DUMMYFUNCTION("""COMPUTED_VALUE"""),0.03778101582014983)</f>
        <v>0.03778101582</v>
      </c>
      <c r="G45" s="21">
        <f>IFERROR(__xludf.DUMMYFUNCTION("""COMPUTED_VALUE"""),258.95)</f>
        <v>258.95</v>
      </c>
      <c r="H45" s="23">
        <f>IFERROR(__xludf.DUMMYFUNCTION("""COMPUTED_VALUE"""),0.7850936474222824)</f>
        <v>0.7850936474</v>
      </c>
      <c r="I45" s="21">
        <f>IFERROR(__xludf.DUMMYFUNCTION("""COMPUTED_VALUE"""),473.2)</f>
        <v>473.2</v>
      </c>
      <c r="J45" s="23">
        <f>IFERROR(__xludf.DUMMYFUNCTION("""COMPUTED_VALUE"""),-0.02314032121724427)</f>
        <v>-0.02314032122</v>
      </c>
      <c r="K45" s="21" t="str">
        <f>IFERROR(__xludf.DUMMYFUNCTION("""COMPUTED_VALUE"""),"Kitchen Appliances")</f>
        <v>Kitchen Appliances</v>
      </c>
      <c r="L45" s="21" t="str">
        <f>IFERROR(__xludf.DUMMYFUNCTION("""COMPUTED_VALUE"""),"BOM:542905")</f>
        <v>BOM:542905</v>
      </c>
      <c r="M45" s="21" t="str">
        <f>IFERROR(__xludf.DUMMYFUNCTION("""COMPUTED_VALUE"""),"NO")</f>
        <v>NO</v>
      </c>
      <c r="N45" s="21" t="str">
        <f>IFERROR(__xludf.DUMMYFUNCTION("""COMPUTED_VALUE"""),"NO")</f>
        <v>NO</v>
      </c>
      <c r="O45" s="21" t="str">
        <f>IFERROR(__xludf.DUMMYFUNCTION("""COMPUTED_VALUE"""),"GOOD STOCK")</f>
        <v>GOOD STOCK</v>
      </c>
      <c r="P45" s="21" t="str">
        <f>IFERROR(__xludf.DUMMYFUNCTION("""COMPUTED_VALUE"""),"Small cap stocks")</f>
        <v>Small cap stocks</v>
      </c>
    </row>
    <row r="46">
      <c r="A46" s="18" t="str">
        <f>IFERROR(__xludf.DUMMYFUNCTION("""COMPUTED_VALUE"""),"Astec Lifesciences")</f>
        <v>Astec Lifesciences</v>
      </c>
      <c r="B46" s="19">
        <f>IFERROR(__xludf.DUMMYFUNCTION("""COMPUTED_VALUE"""),3279.733)</f>
        <v>3279.733</v>
      </c>
      <c r="C46" s="20">
        <f>IFERROR(__xludf.DUMMYFUNCTION("""COMPUTED_VALUE"""),1669.3)</f>
        <v>1669.3</v>
      </c>
      <c r="D46" s="21">
        <f>IFERROR(__xludf.DUMMYFUNCTION("""COMPUTED_VALUE"""),33.56)</f>
        <v>33.56</v>
      </c>
      <c r="E46" s="22">
        <f>IFERROR(__xludf.DUMMYFUNCTION("""COMPUTED_VALUE"""),2285.65)</f>
        <v>2285.65</v>
      </c>
      <c r="F46" s="23">
        <f>IFERROR(__xludf.DUMMYFUNCTION("""COMPUTED_VALUE"""),0.2696607092074465)</f>
        <v>0.2696607092</v>
      </c>
      <c r="G46" s="21">
        <f>IFERROR(__xludf.DUMMYFUNCTION("""COMPUTED_VALUE"""),1276.15)</f>
        <v>1276.15</v>
      </c>
      <c r="H46" s="23">
        <f>IFERROR(__xludf.DUMMYFUNCTION("""COMPUTED_VALUE"""),0.30807506954511604)</f>
        <v>0.3080750695</v>
      </c>
      <c r="I46" s="21">
        <f>IFERROR(__xludf.DUMMYFUNCTION("""COMPUTED_VALUE"""),1635.25)</f>
        <v>1635.25</v>
      </c>
      <c r="J46" s="23">
        <f>IFERROR(__xludf.DUMMYFUNCTION("""COMPUTED_VALUE"""),0.020822504204250088)</f>
        <v>0.0208225042</v>
      </c>
      <c r="K46" s="21" t="str">
        <f>IFERROR(__xludf.DUMMYFUNCTION("""COMPUTED_VALUE"""),"Pharma")</f>
        <v>Pharma</v>
      </c>
      <c r="L46" s="21" t="str">
        <f>IFERROR(__xludf.DUMMYFUNCTION("""COMPUTED_VALUE"""),"BOM:533138")</f>
        <v>BOM:533138</v>
      </c>
      <c r="M46" s="21" t="str">
        <f>IFERROR(__xludf.DUMMYFUNCTION("""COMPUTED_VALUE"""),"NO")</f>
        <v>NO</v>
      </c>
      <c r="N46" s="21" t="str">
        <f>IFERROR(__xludf.DUMMYFUNCTION("""COMPUTED_VALUE"""),"NO")</f>
        <v>NO</v>
      </c>
      <c r="O46" s="21" t="str">
        <f>IFERROR(__xludf.DUMMYFUNCTION("""COMPUTED_VALUE"""),"GOOD STOCK")</f>
        <v>GOOD STOCK</v>
      </c>
      <c r="P46" s="21" t="str">
        <f>IFERROR(__xludf.DUMMYFUNCTION("""COMPUTED_VALUE"""),"Small cap stocks")</f>
        <v>Small cap stocks</v>
      </c>
    </row>
    <row r="47">
      <c r="A47" s="18" t="str">
        <f>IFERROR(__xludf.DUMMYFUNCTION("""COMPUTED_VALUE"""),"Mold tech")</f>
        <v>Mold tech</v>
      </c>
      <c r="B47" s="19">
        <f>IFERROR(__xludf.DUMMYFUNCTION("""COMPUTED_VALUE"""),3279.606)</f>
        <v>3279.606</v>
      </c>
      <c r="C47" s="20">
        <f>IFERROR(__xludf.DUMMYFUNCTION("""COMPUTED_VALUE"""),988.1)</f>
        <v>988.1</v>
      </c>
      <c r="D47" s="21">
        <f>IFERROR(__xludf.DUMMYFUNCTION("""COMPUTED_VALUE"""),41.73)</f>
        <v>41.73</v>
      </c>
      <c r="E47" s="22">
        <f>IFERROR(__xludf.DUMMYFUNCTION("""COMPUTED_VALUE"""),1057.85)</f>
        <v>1057.85</v>
      </c>
      <c r="F47" s="23">
        <f>IFERROR(__xludf.DUMMYFUNCTION("""COMPUTED_VALUE"""),0.06593562414330945)</f>
        <v>0.06593562414</v>
      </c>
      <c r="G47" s="21">
        <f>IFERROR(__xludf.DUMMYFUNCTION("""COMPUTED_VALUE"""),648.05)</f>
        <v>648.05</v>
      </c>
      <c r="H47" s="23">
        <f>IFERROR(__xludf.DUMMYFUNCTION("""COMPUTED_VALUE"""),0.52472803024458)</f>
        <v>0.5247280302</v>
      </c>
      <c r="I47" s="21">
        <f>IFERROR(__xludf.DUMMYFUNCTION("""COMPUTED_VALUE"""),991.35)</f>
        <v>991.35</v>
      </c>
      <c r="J47" s="23">
        <f>IFERROR(__xludf.DUMMYFUNCTION("""COMPUTED_VALUE"""),-0.0032783577949261106)</f>
        <v>-0.003278357795</v>
      </c>
      <c r="K47" s="21"/>
      <c r="L47" s="21" t="str">
        <f>IFERROR(__xludf.DUMMYFUNCTION("""COMPUTED_VALUE"""),"BOM:533080")</f>
        <v>BOM:533080</v>
      </c>
      <c r="M47" s="21" t="str">
        <f>IFERROR(__xludf.DUMMYFUNCTION("""COMPUTED_VALUE"""),"NO")</f>
        <v>NO</v>
      </c>
      <c r="N47" s="21" t="str">
        <f>IFERROR(__xludf.DUMMYFUNCTION("""COMPUTED_VALUE"""),"NO")</f>
        <v>NO</v>
      </c>
      <c r="O47" s="21" t="str">
        <f>IFERROR(__xludf.DUMMYFUNCTION("""COMPUTED_VALUE"""),"GOOD STOCK")</f>
        <v>GOOD STOCK</v>
      </c>
      <c r="P47" s="21" t="str">
        <f>IFERROR(__xludf.DUMMYFUNCTION("""COMPUTED_VALUE"""),"Small cap stocks")</f>
        <v>Small cap stocks</v>
      </c>
    </row>
    <row r="48">
      <c r="A48" s="18" t="str">
        <f>IFERROR(__xludf.DUMMYFUNCTION("""COMPUTED_VALUE"""),"Goldiam International")</f>
        <v>Goldiam International</v>
      </c>
      <c r="B48" s="19">
        <f>IFERROR(__xludf.DUMMYFUNCTION("""COMPUTED_VALUE"""),1794.8020805)</f>
        <v>1794.802081</v>
      </c>
      <c r="C48" s="20">
        <f>IFERROR(__xludf.DUMMYFUNCTION("""COMPUTED_VALUE"""),165.55)</f>
        <v>165.55</v>
      </c>
      <c r="D48" s="21">
        <f>IFERROR(__xludf.DUMMYFUNCTION("""COMPUTED_VALUE"""),17.83)</f>
        <v>17.83</v>
      </c>
      <c r="E48" s="22">
        <f>IFERROR(__xludf.DUMMYFUNCTION("""COMPUTED_VALUE"""),209.41)</f>
        <v>209.41</v>
      </c>
      <c r="F48" s="23">
        <f>IFERROR(__xludf.DUMMYFUNCTION("""COMPUTED_VALUE"""),0.2094455852156057)</f>
        <v>0.2094455852</v>
      </c>
      <c r="G48" s="21">
        <f>IFERROR(__xludf.DUMMYFUNCTION("""COMPUTED_VALUE"""),116.75)</f>
        <v>116.75</v>
      </c>
      <c r="H48" s="23">
        <f>IFERROR(__xludf.DUMMYFUNCTION("""COMPUTED_VALUE"""),0.41798715203426134)</f>
        <v>0.417987152</v>
      </c>
      <c r="I48" s="21">
        <f>IFERROR(__xludf.DUMMYFUNCTION("""COMPUTED_VALUE"""),165.4)</f>
        <v>165.4</v>
      </c>
      <c r="J48" s="23">
        <f>IFERROR(__xludf.DUMMYFUNCTION("""COMPUTED_VALUE"""),9.068923821040247E-4)</f>
        <v>0.0009068923821</v>
      </c>
      <c r="K48" s="21" t="str">
        <f>IFERROR(__xludf.DUMMYFUNCTION("""COMPUTED_VALUE"""),"Retail")</f>
        <v>Retail</v>
      </c>
      <c r="L48" s="21" t="str">
        <f>IFERROR(__xludf.DUMMYFUNCTION("""COMPUTED_VALUE"""),"BOM:526729")</f>
        <v>BOM:526729</v>
      </c>
      <c r="M48" s="21" t="str">
        <f>IFERROR(__xludf.DUMMYFUNCTION("""COMPUTED_VALUE"""),"NO")</f>
        <v>NO</v>
      </c>
      <c r="N48" s="21" t="str">
        <f>IFERROR(__xludf.DUMMYFUNCTION("""COMPUTED_VALUE"""),"NO")</f>
        <v>NO</v>
      </c>
      <c r="O48" s="21" t="str">
        <f>IFERROR(__xludf.DUMMYFUNCTION("""COMPUTED_VALUE"""),"GOOD STOCK")</f>
        <v>GOOD STOCK</v>
      </c>
      <c r="P48" s="21" t="str">
        <f>IFERROR(__xludf.DUMMYFUNCTION("""COMPUTED_VALUE"""),"Small cap stocks")</f>
        <v>Small cap stocks</v>
      </c>
    </row>
  </sheetData>
  <conditionalFormatting sqref="B2:B48">
    <cfRule type="colorScale" priority="1">
      <colorScale>
        <cfvo type="min"/>
        <cfvo type="formula" val="29278.49158"/>
        <cfvo type="max"/>
        <color rgb="FFB7E1CD"/>
        <color rgb="FF63D297"/>
        <color rgb="FF00FF00"/>
      </colorScale>
    </cfRule>
  </conditionalFormatting>
  <conditionalFormatting sqref="D2:D48">
    <cfRule type="colorScale" priority="2">
      <colorScale>
        <cfvo type="min"/>
        <cfvo type="percentile" val="50"/>
        <cfvo type="max"/>
        <color rgb="FFF3F3F3"/>
        <color rgb="FFE6C6B2"/>
        <color rgb="FFFF7A7A"/>
      </colorScale>
    </cfRule>
  </conditionalFormatting>
  <conditionalFormatting sqref="F2:F48">
    <cfRule type="colorScale" priority="3">
      <colorScale>
        <cfvo type="min"/>
        <cfvo type="max"/>
        <color rgb="FFFFFFFF"/>
        <color rgb="FF8DFF8A"/>
      </colorScale>
    </cfRule>
  </conditionalFormatting>
  <conditionalFormatting sqref="G2:G48">
    <cfRule type="notContainsBlanks" dxfId="9" priority="4">
      <formula>LEN(TRIM(G2))&gt;0</formula>
    </cfRule>
  </conditionalFormatting>
  <conditionalFormatting sqref="H2:H48">
    <cfRule type="colorScale" priority="5">
      <colorScale>
        <cfvo type="min"/>
        <cfvo type="max"/>
        <color rgb="FFFFFFFF"/>
        <color rgb="FF8DFF8A"/>
      </colorScale>
    </cfRule>
  </conditionalFormatting>
  <conditionalFormatting sqref="I2:I48">
    <cfRule type="notContainsBlanks" dxfId="10" priority="6">
      <formula>LEN(TRIM(I2))&gt;0</formula>
    </cfRule>
  </conditionalFormatting>
  <conditionalFormatting sqref="J2:J48">
    <cfRule type="cellIs" dxfId="11" priority="7" operator="greaterThan">
      <formula>0</formula>
    </cfRule>
  </conditionalFormatting>
  <conditionalFormatting sqref="J2:J48">
    <cfRule type="cellIs" dxfId="12" priority="8" operator="lessThan">
      <formula>0</formula>
    </cfRule>
  </conditionalFormatting>
  <conditionalFormatting sqref="O2:O48">
    <cfRule type="notContainsBlanks" dxfId="13" priority="9">
      <formula>LEN(TRIM(O2))&gt;0</formula>
    </cfRule>
  </conditionalFormatting>
  <conditionalFormatting sqref="P2:P48">
    <cfRule type="notContainsBlanks" dxfId="4" priority="10">
      <formula>LEN(TRIM(P2))&gt;0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6" max="16" width="15.75"/>
  </cols>
  <sheetData>
    <row r="1">
      <c r="A1" s="24" t="str">
        <f>IFERROR(__xludf.DUMMYFUNCTION("query('Data Set'!A1:J1000,""select * where  D is not null and D&lt;100 order by B desc "",1)"),"21")</f>
        <v>21</v>
      </c>
      <c r="B1" s="24" t="str">
        <f>IFERROR(__xludf.DUMMYFUNCTION("""COMPUTED_VALUE"""),"Market cap (in Rs Cr.)")</f>
        <v>Market cap (in Rs Cr.)</v>
      </c>
      <c r="C1" s="24" t="str">
        <f>IFERROR(__xludf.DUMMYFUNCTION("""COMPUTED_VALUE"""),"Current price")</f>
        <v>Current price</v>
      </c>
      <c r="D1" s="24" t="str">
        <f>IFERROR(__xludf.DUMMYFUNCTION("""COMPUTED_VALUE"""),"PE Ratio")</f>
        <v>PE Ratio</v>
      </c>
      <c r="E1" s="24" t="str">
        <f>IFERROR(__xludf.DUMMYFUNCTION("""COMPUTED_VALUE"""),"52 Week High")</f>
        <v>52 Week High</v>
      </c>
      <c r="F1" s="24" t="str">
        <f>IFERROR(__xludf.DUMMYFUNCTION("""COMPUTED_VALUE"""),"% Below 52 week high")</f>
        <v>% Below 52 week high</v>
      </c>
      <c r="G1" s="24" t="str">
        <f>IFERROR(__xludf.DUMMYFUNCTION("""COMPUTED_VALUE"""),"52 Week Low")</f>
        <v>52 Week Low</v>
      </c>
      <c r="H1" s="24" t="str">
        <f>IFERROR(__xludf.DUMMYFUNCTION("""COMPUTED_VALUE"""),"% Above 52 Week low")</f>
        <v>% Above 52 Week low</v>
      </c>
      <c r="I1" s="24" t="str">
        <f>IFERROR(__xludf.DUMMYFUNCTION("""COMPUTED_VALUE"""),"Yesterday Closing Price")</f>
        <v>Yesterday Closing Price</v>
      </c>
      <c r="J1" s="24" t="str">
        <f>IFERROR(__xludf.DUMMYFUNCTION("""COMPUTED_VALUE"""),"% Change")</f>
        <v>% Change</v>
      </c>
      <c r="K1" s="25" t="s">
        <v>227</v>
      </c>
      <c r="L1" s="25" t="s">
        <v>228</v>
      </c>
      <c r="M1" s="25" t="s">
        <v>229</v>
      </c>
      <c r="N1" s="25" t="s">
        <v>230</v>
      </c>
      <c r="O1" s="25" t="s">
        <v>231</v>
      </c>
      <c r="P1" s="25" t="s">
        <v>232</v>
      </c>
    </row>
    <row r="2">
      <c r="A2" s="26" t="str">
        <f>IFERROR(__xludf.DUMMYFUNCTION("""COMPUTED_VALUE"""),"Reliance")</f>
        <v>Reliance</v>
      </c>
      <c r="B2" s="27">
        <f>IFERROR(__xludf.DUMMYFUNCTION("""COMPUTED_VALUE"""),1620922.4391001)</f>
        <v>1620922.439</v>
      </c>
      <c r="C2" s="26">
        <f>IFERROR(__xludf.DUMMYFUNCTION("""COMPUTED_VALUE"""),2467.9)</f>
        <v>2467.9</v>
      </c>
      <c r="D2" s="26">
        <f>IFERROR(__xludf.DUMMYFUNCTION("""COMPUTED_VALUE"""),25.09)</f>
        <v>25.09</v>
      </c>
      <c r="E2" s="26">
        <f>IFERROR(__xludf.DUMMYFUNCTION("""COMPUTED_VALUE"""),2856.15)</f>
        <v>2856.15</v>
      </c>
      <c r="F2" s="28">
        <f>IFERROR(__xludf.DUMMYFUNCTION("""COMPUTED_VALUE"""),0.1359347373212191)</f>
        <v>0.1359347373</v>
      </c>
      <c r="G2" s="26">
        <f>IFERROR(__xludf.DUMMYFUNCTION("""COMPUTED_VALUE"""),2180.0)</f>
        <v>2180</v>
      </c>
      <c r="H2" s="28">
        <f>IFERROR(__xludf.DUMMYFUNCTION("""COMPUTED_VALUE"""),0.1320642201834863)</f>
        <v>0.1320642202</v>
      </c>
      <c r="I2" s="26">
        <f>IFERROR(__xludf.DUMMYFUNCTION("""COMPUTED_VALUE"""),2471.6)</f>
        <v>2471.6</v>
      </c>
      <c r="J2" s="28">
        <f>IFERROR(__xludf.DUMMYFUNCTION("""COMPUTED_VALUE"""),-0.0014970059880238785)</f>
        <v>-0.001497005988</v>
      </c>
      <c r="K2" s="26" t="str">
        <f t="array" ref="K2:K1000">if(A2:A1000&lt;&gt;"",VLOOKUP(A2:A1000,'NSEBSE Code'!A4:C219,2,0),"")</f>
        <v>Telecom and oil</v>
      </c>
      <c r="L2" s="29" t="str">
        <f t="array" ref="L2:L1000">IF(A2:A1000&lt;&gt;"", VLOOKUP(A2:A1000,'NSEBSE Code'!A4:C219,3,0),"")</f>
        <v>RELIANCE</v>
      </c>
      <c r="M2" s="29" t="str">
        <f t="array" ref="M2">IF(F2&gt;30%,"YES","NO")</f>
        <v>NO</v>
      </c>
      <c r="N2" s="29" t="str">
        <f t="array" ref="N2">IF(H2&lt;30%,"YES","NO")</f>
        <v>YES</v>
      </c>
      <c r="O2" s="29" t="str">
        <f t="array" ref="O2"> if(AND(D2&lt;65,M2="NO",N2="NO"),"GOOD STOCK","")</f>
        <v/>
      </c>
      <c r="P2" s="29" t="str">
        <f t="array" ref="P2"> ifs((B2/$B$2)*100&gt;=60,"Large cap stocks",and((B2/$B$2)*100&lt;60,(B2/$B$2)*100&gt;40),"Medium cap stocks",(B2/$B$2)*100&lt;40,"Small cap stocks")</f>
        <v>Large cap stocks</v>
      </c>
    </row>
    <row r="3">
      <c r="A3" s="26" t="str">
        <f>IFERROR(__xludf.DUMMYFUNCTION("""COMPUTED_VALUE"""),"TCS")</f>
        <v>TCS</v>
      </c>
      <c r="B3" s="27">
        <f>IFERROR(__xludf.DUMMYFUNCTION("""COMPUTED_VALUE"""),1234544.5174748)</f>
        <v>1234544.517</v>
      </c>
      <c r="C3" s="26">
        <f>IFERROR(__xludf.DUMMYFUNCTION("""COMPUTED_VALUE"""),3374.2)</f>
        <v>3374.2</v>
      </c>
      <c r="D3" s="26">
        <f>IFERROR(__xludf.DUMMYFUNCTION("""COMPUTED_VALUE"""),30.43)</f>
        <v>30.43</v>
      </c>
      <c r="E3" s="26">
        <f>IFERROR(__xludf.DUMMYFUNCTION("""COMPUTED_VALUE"""),4045.5)</f>
        <v>4045.5</v>
      </c>
      <c r="F3" s="28">
        <f>IFERROR(__xludf.DUMMYFUNCTION("""COMPUTED_VALUE"""),0.1659374613768385)</f>
        <v>0.1659374614</v>
      </c>
      <c r="G3" s="26">
        <f>IFERROR(__xludf.DUMMYFUNCTION("""COMPUTED_VALUE"""),2926.0)</f>
        <v>2926</v>
      </c>
      <c r="H3" s="28">
        <f>IFERROR(__xludf.DUMMYFUNCTION("""COMPUTED_VALUE"""),0.15317840054682152)</f>
        <v>0.1531784005</v>
      </c>
      <c r="I3" s="26">
        <f>IFERROR(__xludf.DUMMYFUNCTION("""COMPUTED_VALUE"""),3334.6)</f>
        <v>3334.6</v>
      </c>
      <c r="J3" s="28">
        <f>IFERROR(__xludf.DUMMYFUNCTION("""COMPUTED_VALUE"""),0.01187548731482034)</f>
        <v>0.01187548731</v>
      </c>
      <c r="K3" s="26" t="s">
        <v>233</v>
      </c>
      <c r="L3" s="26" t="s">
        <v>234</v>
      </c>
      <c r="M3" s="29" t="str">
        <f t="array" ref="M3">IF(F3&gt;30%,"YES","NO")</f>
        <v>NO</v>
      </c>
      <c r="N3" s="29" t="str">
        <f t="array" ref="N3">IF(H3&lt;30%,"YES","NO")</f>
        <v>YES</v>
      </c>
      <c r="O3" s="29" t="str">
        <f t="array" ref="O3"> if(AND(D3&lt;65,M3="NO",N3="NO"),"GOOD STOCK","")</f>
        <v/>
      </c>
      <c r="P3" s="29" t="str">
        <f t="array" ref="P3"> ifs((B3/$B$2)*100&gt;=60,"Large cap stocks",and((B3/$B$2)*100&lt;60,(B3/$B$2)*100&gt;40),"Medium cap stocks",(B3/$B$2)*100&lt;40,"Small cap stocks")</f>
        <v>Large cap stocks</v>
      </c>
    </row>
    <row r="4">
      <c r="A4" s="26" t="str">
        <f>IFERROR(__xludf.DUMMYFUNCTION("""COMPUTED_VALUE"""),"HUL")</f>
        <v>HUL</v>
      </c>
      <c r="B4" s="27">
        <f>IFERROR(__xludf.DUMMYFUNCTION("""COMPUTED_VALUE"""),616301.326875)</f>
        <v>616301.3269</v>
      </c>
      <c r="C4" s="26">
        <f>IFERROR(__xludf.DUMMYFUNCTION("""COMPUTED_VALUE"""),2620.6)</f>
        <v>2620.6</v>
      </c>
      <c r="D4" s="26">
        <f>IFERROR(__xludf.DUMMYFUNCTION("""COMPUTED_VALUE"""),63.81)</f>
        <v>63.81</v>
      </c>
      <c r="E4" s="26">
        <f>IFERROR(__xludf.DUMMYFUNCTION("""COMPUTED_VALUE"""),2741.6)</f>
        <v>2741.6</v>
      </c>
      <c r="F4" s="28">
        <f>IFERROR(__xludf.DUMMYFUNCTION("""COMPUTED_VALUE"""),0.0441348117887365)</f>
        <v>0.04413481179</v>
      </c>
      <c r="G4" s="26">
        <f>IFERROR(__xludf.DUMMYFUNCTION("""COMPUTED_VALUE"""),1901.55)</f>
        <v>1901.55</v>
      </c>
      <c r="H4" s="28">
        <f>IFERROR(__xludf.DUMMYFUNCTION("""COMPUTED_VALUE"""),0.37813888669769397)</f>
        <v>0.3781388867</v>
      </c>
      <c r="I4" s="26">
        <f>IFERROR(__xludf.DUMMYFUNCTION("""COMPUTED_VALUE"""),2590.05)</f>
        <v>2590.05</v>
      </c>
      <c r="J4" s="28">
        <f>IFERROR(__xludf.DUMMYFUNCTION("""COMPUTED_VALUE"""),0.011795139089978852)</f>
        <v>0.01179513909</v>
      </c>
      <c r="K4" s="26" t="s">
        <v>235</v>
      </c>
      <c r="L4" s="26" t="s">
        <v>236</v>
      </c>
      <c r="M4" s="29" t="str">
        <f t="array" ref="M4">IF(F4&gt;30%,"YES","NO")</f>
        <v>NO</v>
      </c>
      <c r="N4" s="29" t="str">
        <f t="array" ref="N4">IF(H4&lt;30%,"YES","NO")</f>
        <v>NO</v>
      </c>
      <c r="O4" s="29" t="str">
        <f t="array" ref="O4"> if(AND(D4&lt;65,M4="NO",N4="NO"),"GOOD STOCK","")</f>
        <v>GOOD STOCK</v>
      </c>
      <c r="P4" s="29" t="str">
        <f t="array" ref="P4"> ifs((B4/$B$2)*100&gt;=60,"Large cap stocks",and((B4/$B$2)*100&lt;60,(B4/$B$2)*100&gt;40),"Medium cap stocks",(B4/$B$2)*100&lt;40,"Small cap stocks")</f>
        <v>Small cap stocks</v>
      </c>
    </row>
    <row r="5">
      <c r="A5" s="26" t="str">
        <f>IFERROR(__xludf.DUMMYFUNCTION("""COMPUTED_VALUE"""),"SBI Bank")</f>
        <v>SBI Bank</v>
      </c>
      <c r="B5" s="27">
        <f>IFERROR(__xludf.DUMMYFUNCTION("""COMPUTED_VALUE"""),535431.3246675)</f>
        <v>535431.3247</v>
      </c>
      <c r="C5" s="26">
        <f>IFERROR(__xludf.DUMMYFUNCTION("""COMPUTED_VALUE"""),600.05)</f>
        <v>600.05</v>
      </c>
      <c r="D5" s="26">
        <f>IFERROR(__xludf.DUMMYFUNCTION("""COMPUTED_VALUE"""),13.0)</f>
        <v>13</v>
      </c>
      <c r="E5" s="26">
        <f>IFERROR(__xludf.DUMMYFUNCTION("""COMPUTED_VALUE"""),629.65)</f>
        <v>629.65</v>
      </c>
      <c r="F5" s="28">
        <f>IFERROR(__xludf.DUMMYFUNCTION("""COMPUTED_VALUE"""),0.047010243786230484)</f>
        <v>0.04701024379</v>
      </c>
      <c r="G5" s="26">
        <f>IFERROR(__xludf.DUMMYFUNCTION("""COMPUTED_VALUE"""),425.0)</f>
        <v>425</v>
      </c>
      <c r="H5" s="28">
        <f>IFERROR(__xludf.DUMMYFUNCTION("""COMPUTED_VALUE"""),0.41188235294117637)</f>
        <v>0.4118823529</v>
      </c>
      <c r="I5" s="26">
        <f>IFERROR(__xludf.DUMMYFUNCTION("""COMPUTED_VALUE"""),595.0)</f>
        <v>595</v>
      </c>
      <c r="J5" s="28">
        <f>IFERROR(__xludf.DUMMYFUNCTION("""COMPUTED_VALUE"""),0.008487394957983117)</f>
        <v>0.008487394958</v>
      </c>
      <c r="K5" s="26" t="s">
        <v>237</v>
      </c>
      <c r="L5" s="26" t="s">
        <v>238</v>
      </c>
      <c r="M5" s="29" t="str">
        <f t="array" ref="M5">IF(F5&gt;30%,"YES","NO")</f>
        <v>NO</v>
      </c>
      <c r="N5" s="29" t="str">
        <f t="array" ref="N5">IF(H5&lt;30%,"YES","NO")</f>
        <v>NO</v>
      </c>
      <c r="O5" s="29" t="str">
        <f t="array" ref="O5"> if(AND(D5&lt;65,M5="NO",N5="NO"),"GOOD STOCK","")</f>
        <v>GOOD STOCK</v>
      </c>
      <c r="P5" s="29" t="str">
        <f t="array" ref="P5"> ifs((B5/$B$2)*100&gt;=60,"Large cap stocks",and((B5/$B$2)*100&lt;60,(B5/$B$2)*100&gt;40),"Medium cap stocks",(B5/$B$2)*100&lt;40,"Small cap stocks")</f>
        <v>Small cap stocks</v>
      </c>
    </row>
    <row r="6">
      <c r="A6" s="26" t="str">
        <f>IFERROR(__xludf.DUMMYFUNCTION("""COMPUTED_VALUE"""),"HDFC")</f>
        <v>HDFC</v>
      </c>
      <c r="B6" s="27">
        <f>IFERROR(__xludf.DUMMYFUNCTION("""COMPUTED_VALUE"""),478914.7)</f>
        <v>478914.7</v>
      </c>
      <c r="C6" s="26">
        <f>IFERROR(__xludf.DUMMYFUNCTION("""COMPUTED_VALUE"""),2619.25)</f>
        <v>2619.25</v>
      </c>
      <c r="D6" s="26">
        <f>IFERROR(__xludf.DUMMYFUNCTION("""COMPUTED_VALUE"""),19.81)</f>
        <v>19.81</v>
      </c>
      <c r="E6" s="26">
        <f>IFERROR(__xludf.DUMMYFUNCTION("""COMPUTED_VALUE"""),2933.8)</f>
        <v>2933.8</v>
      </c>
      <c r="F6" s="28">
        <f>IFERROR(__xludf.DUMMYFUNCTION("""COMPUTED_VALUE"""),0.10721589747085697)</f>
        <v>0.1072158975</v>
      </c>
      <c r="G6" s="26">
        <f>IFERROR(__xludf.DUMMYFUNCTION("""COMPUTED_VALUE"""),2026.0)</f>
        <v>2026</v>
      </c>
      <c r="H6" s="28">
        <f>IFERROR(__xludf.DUMMYFUNCTION("""COMPUTED_VALUE"""),0.2928183613030602)</f>
        <v>0.2928183613</v>
      </c>
      <c r="I6" s="26">
        <f>IFERROR(__xludf.DUMMYFUNCTION("""COMPUTED_VALUE"""),2612.8)</f>
        <v>2612.8</v>
      </c>
      <c r="J6" s="28">
        <f>IFERROR(__xludf.DUMMYFUNCTION("""COMPUTED_VALUE"""),0.002468616044090561)</f>
        <v>0.002468616044</v>
      </c>
      <c r="K6" s="26" t="s">
        <v>239</v>
      </c>
      <c r="L6" s="26" t="s">
        <v>211</v>
      </c>
      <c r="M6" s="29" t="str">
        <f t="array" ref="M6">IF(F6&gt;30%,"YES","NO")</f>
        <v>NO</v>
      </c>
      <c r="N6" s="29" t="str">
        <f t="array" ref="N6">IF(H6&lt;30%,"YES","NO")</f>
        <v>YES</v>
      </c>
      <c r="O6" s="29" t="str">
        <f t="array" ref="O6"> if(AND(D6&lt;65,M6="NO",N6="NO"),"GOOD STOCK","")</f>
        <v/>
      </c>
      <c r="P6" s="29" t="str">
        <f t="array" ref="P6"> ifs((B6/$B$2)*100&gt;=60,"Large cap stocks",and((B6/$B$2)*100&lt;60,(B6/$B$2)*100&gt;40),"Medium cap stocks",(B6/$B$2)*100&lt;40,"Small cap stocks")</f>
        <v>Small cap stocks</v>
      </c>
    </row>
    <row r="7">
      <c r="A7" s="26" t="str">
        <f>IFERROR(__xludf.DUMMYFUNCTION("""COMPUTED_VALUE"""),"LIC")</f>
        <v>LIC</v>
      </c>
      <c r="B7" s="27">
        <f>IFERROR(__xludf.DUMMYFUNCTION("""COMPUTED_VALUE"""),450686.7570293)</f>
        <v>450686.757</v>
      </c>
      <c r="C7" s="26">
        <f>IFERROR(__xludf.DUMMYFUNCTION("""COMPUTED_VALUE"""),712.7)</f>
        <v>712.7</v>
      </c>
      <c r="D7" s="26">
        <f>IFERROR(__xludf.DUMMYFUNCTION("""COMPUTED_VALUE"""),23.63)</f>
        <v>23.63</v>
      </c>
      <c r="E7" s="26">
        <f>IFERROR(__xludf.DUMMYFUNCTION("""COMPUTED_VALUE"""),920.0)</f>
        <v>920</v>
      </c>
      <c r="F7" s="28">
        <f>IFERROR(__xludf.DUMMYFUNCTION("""COMPUTED_VALUE"""),0.22532608695652168)</f>
        <v>0.225326087</v>
      </c>
      <c r="G7" s="26">
        <f>IFERROR(__xludf.DUMMYFUNCTION("""COMPUTED_VALUE"""),588.0)</f>
        <v>588</v>
      </c>
      <c r="H7" s="28">
        <f>IFERROR(__xludf.DUMMYFUNCTION("""COMPUTED_VALUE"""),0.21207482993197288)</f>
        <v>0.2120748299</v>
      </c>
      <c r="I7" s="26">
        <f>IFERROR(__xludf.DUMMYFUNCTION("""COMPUTED_VALUE"""),705.55)</f>
        <v>705.55</v>
      </c>
      <c r="J7" s="28">
        <f>IFERROR(__xludf.DUMMYFUNCTION("""COMPUTED_VALUE"""),0.01013393806250456)</f>
        <v>0.01013393806</v>
      </c>
      <c r="K7" s="26" t="s">
        <v>240</v>
      </c>
      <c r="L7" s="26" t="s">
        <v>241</v>
      </c>
      <c r="M7" s="29" t="str">
        <f t="array" ref="M7">IF(F7&gt;30%,"YES","NO")</f>
        <v>NO</v>
      </c>
      <c r="N7" s="29" t="str">
        <f t="array" ref="N7">IF(H7&lt;30%,"YES","NO")</f>
        <v>YES</v>
      </c>
      <c r="O7" s="29" t="str">
        <f t="array" ref="O7"> if(AND(D7&lt;65,M7="NO",N7="NO"),"GOOD STOCK","")</f>
        <v/>
      </c>
      <c r="P7" s="29" t="str">
        <f t="array" ref="P7"> ifs((B7/$B$2)*100&gt;=60,"Large cap stocks",and((B7/$B$2)*100&lt;60,(B7/$B$2)*100&gt;40),"Medium cap stocks",(B7/$B$2)*100&lt;40,"Small cap stocks")</f>
        <v>Small cap stocks</v>
      </c>
    </row>
    <row r="8">
      <c r="A8" s="26" t="str">
        <f>IFERROR(__xludf.DUMMYFUNCTION("""COMPUTED_VALUE"""),"Airtel")</f>
        <v>Airtel</v>
      </c>
      <c r="B8" s="27">
        <f>IFERROR(__xludf.DUMMYFUNCTION("""COMPUTED_VALUE"""),441027.3972459)</f>
        <v>441027.3972</v>
      </c>
      <c r="C8" s="26">
        <f>IFERROR(__xludf.DUMMYFUNCTION("""COMPUTED_VALUE"""),764.6)</f>
        <v>764.6</v>
      </c>
      <c r="D8" s="26">
        <f>IFERROR(__xludf.DUMMYFUNCTION("""COMPUTED_VALUE"""),65.86)</f>
        <v>65.86</v>
      </c>
      <c r="E8" s="26">
        <f>IFERROR(__xludf.DUMMYFUNCTION("""COMPUTED_VALUE"""),860.55)</f>
        <v>860.55</v>
      </c>
      <c r="F8" s="28">
        <f>IFERROR(__xludf.DUMMYFUNCTION("""COMPUTED_VALUE"""),0.11149846028702566)</f>
        <v>0.1114984603</v>
      </c>
      <c r="G8" s="26">
        <f>IFERROR(__xludf.DUMMYFUNCTION("""COMPUTED_VALUE"""),628.75)</f>
        <v>628.75</v>
      </c>
      <c r="H8" s="28">
        <f>IFERROR(__xludf.DUMMYFUNCTION("""COMPUTED_VALUE"""),0.2160636182902585)</f>
        <v>0.2160636183</v>
      </c>
      <c r="I8" s="26">
        <f>IFERROR(__xludf.DUMMYFUNCTION("""COMPUTED_VALUE"""),756.9)</f>
        <v>756.9</v>
      </c>
      <c r="J8" s="28">
        <f>IFERROR(__xludf.DUMMYFUNCTION("""COMPUTED_VALUE"""),0.010173074382349117)</f>
        <v>0.01017307438</v>
      </c>
      <c r="K8" s="26" t="s">
        <v>242</v>
      </c>
      <c r="L8" s="26" t="s">
        <v>243</v>
      </c>
      <c r="M8" s="29" t="str">
        <f t="array" ref="M8">IF(F8&gt;30%,"YES","NO")</f>
        <v>NO</v>
      </c>
      <c r="N8" s="29" t="str">
        <f t="array" ref="N8">IF(H8&lt;30%,"YES","NO")</f>
        <v>YES</v>
      </c>
      <c r="O8" s="29" t="str">
        <f t="array" ref="O8"> if(AND(D8&lt;65,M8="NO",N8="NO"),"GOOD STOCK","")</f>
        <v/>
      </c>
      <c r="P8" s="29" t="str">
        <f t="array" ref="P8"> ifs((B8/$B$2)*100&gt;=60,"Large cap stocks",and((B8/$B$2)*100&lt;60,(B8/$B$2)*100&gt;40),"Medium cap stocks",(B8/$B$2)*100&lt;40,"Small cap stocks")</f>
        <v>Small cap stocks</v>
      </c>
    </row>
    <row r="9">
      <c r="A9" s="26" t="str">
        <f>IFERROR(__xludf.DUMMYFUNCTION("""COMPUTED_VALUE"""),"Bajaj Finance")</f>
        <v>Bajaj Finance</v>
      </c>
      <c r="B9" s="27">
        <f>IFERROR(__xludf.DUMMYFUNCTION("""COMPUTED_VALUE"""),361172.6351402)</f>
        <v>361172.6351</v>
      </c>
      <c r="C9" s="26">
        <f>IFERROR(__xludf.DUMMYFUNCTION("""COMPUTED_VALUE"""),5977.0)</f>
        <v>5977</v>
      </c>
      <c r="D9" s="26">
        <f>IFERROR(__xludf.DUMMYFUNCTION("""COMPUTED_VALUE"""),36.52)</f>
        <v>36.52</v>
      </c>
      <c r="E9" s="26">
        <f>IFERROR(__xludf.DUMMYFUNCTION("""COMPUTED_VALUE"""),8045.0)</f>
        <v>8045</v>
      </c>
      <c r="F9" s="28">
        <f>IFERROR(__xludf.DUMMYFUNCTION("""COMPUTED_VALUE"""),0.25705407085146054)</f>
        <v>0.2570540709</v>
      </c>
      <c r="G9" s="26">
        <f>IFERROR(__xludf.DUMMYFUNCTION("""COMPUTED_VALUE"""),5220.0)</f>
        <v>5220</v>
      </c>
      <c r="H9" s="28">
        <f>IFERROR(__xludf.DUMMYFUNCTION("""COMPUTED_VALUE"""),0.1450191570881226)</f>
        <v>0.1450191571</v>
      </c>
      <c r="I9" s="26">
        <f>IFERROR(__xludf.DUMMYFUNCTION("""COMPUTED_VALUE"""),5898.4)</f>
        <v>5898.4</v>
      </c>
      <c r="J9" s="28">
        <f>IFERROR(__xludf.DUMMYFUNCTION("""COMPUTED_VALUE"""),0.013325647633256539)</f>
        <v>0.01332564763</v>
      </c>
      <c r="K9" s="26" t="s">
        <v>244</v>
      </c>
      <c r="L9" s="26" t="s">
        <v>245</v>
      </c>
      <c r="M9" s="29" t="str">
        <f t="array" ref="M9">IF(F9&gt;30%,"YES","NO")</f>
        <v>NO</v>
      </c>
      <c r="N9" s="29" t="str">
        <f t="array" ref="N9">IF(H9&lt;30%,"YES","NO")</f>
        <v>YES</v>
      </c>
      <c r="O9" s="29" t="str">
        <f t="array" ref="O9"> if(AND(D9&lt;65,M9="NO",N9="NO"),"GOOD STOCK","")</f>
        <v/>
      </c>
      <c r="P9" s="29" t="str">
        <f t="array" ref="P9"> ifs((B9/$B$2)*100&gt;=60,"Large cap stocks",and((B9/$B$2)*100&lt;60,(B9/$B$2)*100&gt;40),"Medium cap stocks",(B9/$B$2)*100&lt;40,"Small cap stocks")</f>
        <v>Small cap stocks</v>
      </c>
    </row>
    <row r="10">
      <c r="A10" s="26" t="str">
        <f>IFERROR(__xludf.DUMMYFUNCTION("""COMPUTED_VALUE"""),"Kotak Bank")</f>
        <v>Kotak Bank</v>
      </c>
      <c r="B10" s="27">
        <f>IFERROR(__xludf.DUMMYFUNCTION("""COMPUTED_VALUE"""),354002.5359556)</f>
        <v>354002.536</v>
      </c>
      <c r="C10" s="26">
        <f>IFERROR(__xludf.DUMMYFUNCTION("""COMPUTED_VALUE"""),1780.5)</f>
        <v>1780.5</v>
      </c>
      <c r="D10" s="26">
        <f>IFERROR(__xludf.DUMMYFUNCTION("""COMPUTED_VALUE"""),25.87)</f>
        <v>25.87</v>
      </c>
      <c r="E10" s="26">
        <f>IFERROR(__xludf.DUMMYFUNCTION("""COMPUTED_VALUE"""),1997.55)</f>
        <v>1997.55</v>
      </c>
      <c r="F10" s="28">
        <f>IFERROR(__xludf.DUMMYFUNCTION("""COMPUTED_VALUE"""),0.10865810618007056)</f>
        <v>0.1086581062</v>
      </c>
      <c r="G10" s="26">
        <f>IFERROR(__xludf.DUMMYFUNCTION("""COMPUTED_VALUE"""),1631.0)</f>
        <v>1631</v>
      </c>
      <c r="H10" s="28">
        <f>IFERROR(__xludf.DUMMYFUNCTION("""COMPUTED_VALUE"""),0.09166155732679337)</f>
        <v>0.09166155733</v>
      </c>
      <c r="I10" s="26">
        <f>IFERROR(__xludf.DUMMYFUNCTION("""COMPUTED_VALUE"""),1779.5)</f>
        <v>1779.5</v>
      </c>
      <c r="J10" s="28">
        <f>IFERROR(__xludf.DUMMYFUNCTION("""COMPUTED_VALUE"""),5.61955605507165E-4)</f>
        <v>0.0005619556055</v>
      </c>
      <c r="K10" s="26" t="s">
        <v>237</v>
      </c>
      <c r="L10" s="26" t="s">
        <v>246</v>
      </c>
      <c r="M10" s="29" t="str">
        <f t="array" ref="M10">IF(F10&gt;30%,"YES","NO")</f>
        <v>NO</v>
      </c>
      <c r="N10" s="29" t="str">
        <f t="array" ref="N10">IF(H10&lt;30%,"YES","NO")</f>
        <v>YES</v>
      </c>
      <c r="O10" s="29" t="str">
        <f t="array" ref="O10"> if(AND(D10&lt;65,M10="NO",N10="NO"),"GOOD STOCK","")</f>
        <v/>
      </c>
      <c r="P10" s="29" t="str">
        <f t="array" ref="P10"> ifs((B10/$B$2)*100&gt;=60,"Large cap stocks",and((B10/$B$2)*100&lt;60,(B10/$B$2)*100&gt;40),"Medium cap stocks",(B10/$B$2)*100&lt;40,"Small cap stocks")</f>
        <v>Small cap stocks</v>
      </c>
    </row>
    <row r="11">
      <c r="A11" s="26" t="str">
        <f>IFERROR(__xludf.DUMMYFUNCTION("""COMPUTED_VALUE"""),"L&amp;T")</f>
        <v>L&amp;T</v>
      </c>
      <c r="B11" s="27">
        <f>IFERROR(__xludf.DUMMYFUNCTION("""COMPUTED_VALUE"""),302617.166625)</f>
        <v>302617.1666</v>
      </c>
      <c r="C11" s="26">
        <f>IFERROR(__xludf.DUMMYFUNCTION("""COMPUTED_VALUE"""),2153.75)</f>
        <v>2153.75</v>
      </c>
      <c r="D11" s="26">
        <f>IFERROR(__xludf.DUMMYFUNCTION("""COMPUTED_VALUE"""),31.53)</f>
        <v>31.53</v>
      </c>
      <c r="E11" s="26">
        <f>IFERROR(__xludf.DUMMYFUNCTION("""COMPUTED_VALUE"""),2210.5)</f>
        <v>2210.5</v>
      </c>
      <c r="F11" s="28">
        <f>IFERROR(__xludf.DUMMYFUNCTION("""COMPUTED_VALUE"""),0.025672924677674736)</f>
        <v>0.02567292468</v>
      </c>
      <c r="G11" s="26">
        <f>IFERROR(__xludf.DUMMYFUNCTION("""COMPUTED_VALUE"""),1456.8)</f>
        <v>1456.8</v>
      </c>
      <c r="H11" s="28">
        <f>IFERROR(__xludf.DUMMYFUNCTION("""COMPUTED_VALUE"""),0.4784115870400879)</f>
        <v>0.478411587</v>
      </c>
      <c r="I11" s="26">
        <f>IFERROR(__xludf.DUMMYFUNCTION("""COMPUTED_VALUE"""),2160.2)</f>
        <v>2160.2</v>
      </c>
      <c r="J11" s="28">
        <f>IFERROR(__xludf.DUMMYFUNCTION("""COMPUTED_VALUE"""),-0.0029858346449401995)</f>
        <v>-0.002985834645</v>
      </c>
      <c r="K11" s="26" t="s">
        <v>247</v>
      </c>
      <c r="L11" s="26" t="s">
        <v>248</v>
      </c>
      <c r="M11" s="29" t="str">
        <f t="array" ref="M11">IF(F11&gt;30%,"YES","NO")</f>
        <v>NO</v>
      </c>
      <c r="N11" s="29" t="str">
        <f t="array" ref="N11">IF(H11&lt;30%,"YES","NO")</f>
        <v>NO</v>
      </c>
      <c r="O11" s="29" t="str">
        <f t="array" ref="O11"> if(AND(D11&lt;65,M11="NO",N11="NO"),"GOOD STOCK","")</f>
        <v>GOOD STOCK</v>
      </c>
      <c r="P11" s="29" t="str">
        <f t="array" ref="P11"> ifs((B11/$B$2)*100&gt;=60,"Large cap stocks",and((B11/$B$2)*100&lt;60,(B11/$B$2)*100&gt;40),"Medium cap stocks",(B11/$B$2)*100&lt;40,"Small cap stocks")</f>
        <v>Small cap stocks</v>
      </c>
    </row>
    <row r="12">
      <c r="A12" s="26" t="str">
        <f>IFERROR(__xludf.DUMMYFUNCTION("""COMPUTED_VALUE"""),"Axis Bank")</f>
        <v>Axis Bank</v>
      </c>
      <c r="B12" s="27">
        <f>IFERROR(__xludf.DUMMYFUNCTION("""COMPUTED_VALUE"""),287213.2945283)</f>
        <v>287213.2945</v>
      </c>
      <c r="C12" s="26">
        <f>IFERROR(__xludf.DUMMYFUNCTION("""COMPUTED_VALUE"""),933.9)</f>
        <v>933.9</v>
      </c>
      <c r="D12" s="26">
        <f>IFERROR(__xludf.DUMMYFUNCTION("""COMPUTED_VALUE"""),15.67)</f>
        <v>15.67</v>
      </c>
      <c r="E12" s="26">
        <f>IFERROR(__xludf.DUMMYFUNCTION("""COMPUTED_VALUE"""),970.0)</f>
        <v>970</v>
      </c>
      <c r="F12" s="28">
        <f>IFERROR(__xludf.DUMMYFUNCTION("""COMPUTED_VALUE"""),0.03721649484536085)</f>
        <v>0.03721649485</v>
      </c>
      <c r="G12" s="26">
        <f>IFERROR(__xludf.DUMMYFUNCTION("""COMPUTED_VALUE"""),618.25)</f>
        <v>618.25</v>
      </c>
      <c r="H12" s="28">
        <f>IFERROR(__xludf.DUMMYFUNCTION("""COMPUTED_VALUE"""),0.5105539830165791)</f>
        <v>0.510553983</v>
      </c>
      <c r="I12" s="26">
        <f>IFERROR(__xludf.DUMMYFUNCTION("""COMPUTED_VALUE"""),935.55)</f>
        <v>935.55</v>
      </c>
      <c r="J12" s="28">
        <f>IFERROR(__xludf.DUMMYFUNCTION("""COMPUTED_VALUE"""),-0.0017636684303350728)</f>
        <v>-0.00176366843</v>
      </c>
      <c r="K12" s="26" t="s">
        <v>237</v>
      </c>
      <c r="L12" s="26" t="s">
        <v>249</v>
      </c>
      <c r="M12" s="29" t="str">
        <f t="array" ref="M12">IF(F12&gt;30%,"YES","NO")</f>
        <v>NO</v>
      </c>
      <c r="N12" s="29" t="str">
        <f t="array" ref="N12">IF(H12&lt;30%,"YES","NO")</f>
        <v>NO</v>
      </c>
      <c r="O12" s="29" t="str">
        <f t="array" ref="O12"> if(AND(D12&lt;65,M12="NO",N12="NO"),"GOOD STOCK","")</f>
        <v>GOOD STOCK</v>
      </c>
      <c r="P12" s="29" t="str">
        <f t="array" ref="P12"> ifs((B12/$B$2)*100&gt;=60,"Large cap stocks",and((B12/$B$2)*100&lt;60,(B12/$B$2)*100&gt;40),"Medium cap stocks",(B12/$B$2)*100&lt;40,"Small cap stocks")</f>
        <v>Small cap stocks</v>
      </c>
    </row>
    <row r="13">
      <c r="A13" s="26" t="str">
        <f>IFERROR(__xludf.DUMMYFUNCTION("""COMPUTED_VALUE"""),"Asian Paints")</f>
        <v>Asian Paints</v>
      </c>
      <c r="B13" s="27">
        <f>IFERROR(__xludf.DUMMYFUNCTION("""COMPUTED_VALUE"""),278960.0995659)</f>
        <v>278960.0996</v>
      </c>
      <c r="C13" s="26">
        <f>IFERROR(__xludf.DUMMYFUNCTION("""COMPUTED_VALUE"""),2912.0)</f>
        <v>2912</v>
      </c>
      <c r="D13" s="26">
        <f>IFERROR(__xludf.DUMMYFUNCTION("""COMPUTED_VALUE"""),76.19)</f>
        <v>76.19</v>
      </c>
      <c r="E13" s="26">
        <f>IFERROR(__xludf.DUMMYFUNCTION("""COMPUTED_VALUE"""),3582.9)</f>
        <v>3582.9</v>
      </c>
      <c r="F13" s="28">
        <f>IFERROR(__xludf.DUMMYFUNCTION("""COMPUTED_VALUE"""),0.18725055122945103)</f>
        <v>0.1872505512</v>
      </c>
      <c r="G13" s="26">
        <f>IFERROR(__xludf.DUMMYFUNCTION("""COMPUTED_VALUE"""),2560.0)</f>
        <v>2560</v>
      </c>
      <c r="H13" s="28">
        <f>IFERROR(__xludf.DUMMYFUNCTION("""COMPUTED_VALUE"""),0.1375)</f>
        <v>0.1375</v>
      </c>
      <c r="I13" s="26">
        <f>IFERROR(__xludf.DUMMYFUNCTION("""COMPUTED_VALUE"""),2915.95)</f>
        <v>2915.95</v>
      </c>
      <c r="J13" s="28">
        <f>IFERROR(__xludf.DUMMYFUNCTION("""COMPUTED_VALUE"""),-0.0013546185634183776)</f>
        <v>-0.001354618563</v>
      </c>
      <c r="K13" s="26" t="s">
        <v>250</v>
      </c>
      <c r="L13" s="26" t="s">
        <v>251</v>
      </c>
      <c r="M13" s="29" t="str">
        <f t="array" ref="M13">IF(F13&gt;30%,"YES","NO")</f>
        <v>NO</v>
      </c>
      <c r="N13" s="29" t="str">
        <f t="array" ref="N13">IF(H13&lt;30%,"YES","NO")</f>
        <v>YES</v>
      </c>
      <c r="O13" s="29" t="str">
        <f t="array" ref="O13"> if(AND(D13&lt;65,M13="NO",N13="NO"),"GOOD STOCK","")</f>
        <v/>
      </c>
      <c r="P13" s="29" t="str">
        <f t="array" ref="P13"> ifs((B13/$B$2)*100&gt;=60,"Large cap stocks",and((B13/$B$2)*100&lt;60,(B13/$B$2)*100&gt;40),"Medium cap stocks",(B13/$B$2)*100&lt;40,"Small cap stocks")</f>
        <v>Small cap stocks</v>
      </c>
    </row>
    <row r="14">
      <c r="A14" s="26" t="str">
        <f>IFERROR(__xludf.DUMMYFUNCTION("""COMPUTED_VALUE"""),"Maruti Suzuki")</f>
        <v>Maruti Suzuki</v>
      </c>
      <c r="B14" s="27">
        <f>IFERROR(__xludf.DUMMYFUNCTION("""COMPUTED_VALUE"""),255438.4185926)</f>
        <v>255438.4186</v>
      </c>
      <c r="C14" s="26">
        <f>IFERROR(__xludf.DUMMYFUNCTION("""COMPUTED_VALUE"""),8454.2)</f>
        <v>8454.2</v>
      </c>
      <c r="D14" s="26">
        <f>IFERROR(__xludf.DUMMYFUNCTION("""COMPUTED_VALUE"""),42.1)</f>
        <v>42.1</v>
      </c>
      <c r="E14" s="26">
        <f>IFERROR(__xludf.DUMMYFUNCTION("""COMPUTED_VALUE"""),9769.0)</f>
        <v>9769</v>
      </c>
      <c r="F14" s="28">
        <f>IFERROR(__xludf.DUMMYFUNCTION("""COMPUTED_VALUE"""),0.13458900603951268)</f>
        <v>0.134589006</v>
      </c>
      <c r="G14" s="26">
        <f>IFERROR(__xludf.DUMMYFUNCTION("""COMPUTED_VALUE"""),6536.55)</f>
        <v>6536.55</v>
      </c>
      <c r="H14" s="28">
        <f>IFERROR(__xludf.DUMMYFUNCTION("""COMPUTED_VALUE"""),0.2933734156397489)</f>
        <v>0.2933734156</v>
      </c>
      <c r="I14" s="26">
        <f>IFERROR(__xludf.DUMMYFUNCTION("""COMPUTED_VALUE"""),8369.2)</f>
        <v>8369.2</v>
      </c>
      <c r="J14" s="28">
        <f>IFERROR(__xludf.DUMMYFUNCTION("""COMPUTED_VALUE"""),0.010156287339291688)</f>
        <v>0.01015628734</v>
      </c>
      <c r="K14" s="26" t="s">
        <v>252</v>
      </c>
      <c r="L14" s="26" t="s">
        <v>253</v>
      </c>
      <c r="M14" s="29" t="str">
        <f t="array" ref="M14">IF(F14&gt;30%,"YES","NO")</f>
        <v>NO</v>
      </c>
      <c r="N14" s="29" t="str">
        <f t="array" ref="N14">IF(H14&lt;30%,"YES","NO")</f>
        <v>YES</v>
      </c>
      <c r="O14" s="29" t="str">
        <f t="array" ref="O14"> if(AND(D14&lt;65,M14="NO",N14="NO"),"GOOD STOCK","")</f>
        <v/>
      </c>
      <c r="P14" s="29" t="str">
        <f t="array" ref="P14"> ifs((B14/$B$2)*100&gt;=60,"Large cap stocks",and((B14/$B$2)*100&lt;60,(B14/$B$2)*100&gt;40),"Medium cap stocks",(B14/$B$2)*100&lt;40,"Small cap stocks")</f>
        <v>Small cap stocks</v>
      </c>
    </row>
    <row r="15">
      <c r="A15" s="26" t="str">
        <f>IFERROR(__xludf.DUMMYFUNCTION("""COMPUTED_VALUE"""),"Sun pharma")</f>
        <v>Sun pharma</v>
      </c>
      <c r="B15" s="27">
        <f>IFERROR(__xludf.DUMMYFUNCTION("""COMPUTED_VALUE"""),247191.650802)</f>
        <v>247191.6508</v>
      </c>
      <c r="C15" s="26">
        <f>IFERROR(__xludf.DUMMYFUNCTION("""COMPUTED_VALUE"""),1031.05)</f>
        <v>1031.05</v>
      </c>
      <c r="D15" s="26">
        <f>IFERROR(__xludf.DUMMYFUNCTION("""COMPUTED_VALUE"""),60.4)</f>
        <v>60.4</v>
      </c>
      <c r="E15" s="26">
        <f>IFERROR(__xludf.DUMMYFUNCTION("""COMPUTED_VALUE"""),1070.95)</f>
        <v>1070.95</v>
      </c>
      <c r="F15" s="28">
        <f>IFERROR(__xludf.DUMMYFUNCTION("""COMPUTED_VALUE"""),0.03725664129978065)</f>
        <v>0.0372566413</v>
      </c>
      <c r="G15" s="26">
        <f>IFERROR(__xludf.DUMMYFUNCTION("""COMPUTED_VALUE"""),784.8)</f>
        <v>784.8</v>
      </c>
      <c r="H15" s="28">
        <f>IFERROR(__xludf.DUMMYFUNCTION("""COMPUTED_VALUE"""),0.3137742099898063)</f>
        <v>0.31377421</v>
      </c>
      <c r="I15" s="26">
        <f>IFERROR(__xludf.DUMMYFUNCTION("""COMPUTED_VALUE"""),1032.85)</f>
        <v>1032.85</v>
      </c>
      <c r="J15" s="28">
        <f>IFERROR(__xludf.DUMMYFUNCTION("""COMPUTED_VALUE"""),-0.0017427506414290116)</f>
        <v>-0.001742750641</v>
      </c>
      <c r="K15" s="26" t="s">
        <v>254</v>
      </c>
      <c r="L15" s="26" t="s">
        <v>255</v>
      </c>
      <c r="M15" s="29" t="str">
        <f t="array" ref="M15">IF(F15&gt;30%,"YES","NO")</f>
        <v>NO</v>
      </c>
      <c r="N15" s="29" t="str">
        <f t="array" ref="N15">IF(H15&lt;30%,"YES","NO")</f>
        <v>NO</v>
      </c>
      <c r="O15" s="29" t="str">
        <f t="array" ref="O15"> if(AND(D15&lt;65,M15="NO",N15="NO"),"GOOD STOCK","")</f>
        <v>GOOD STOCK</v>
      </c>
      <c r="P15" s="29" t="str">
        <f t="array" ref="P15"> ifs((B15/$B$2)*100&gt;=60,"Large cap stocks",and((B15/$B$2)*100&lt;60,(B15/$B$2)*100&gt;40),"Medium cap stocks",(B15/$B$2)*100&lt;40,"Small cap stocks")</f>
        <v>Small cap stocks</v>
      </c>
    </row>
    <row r="16">
      <c r="A16" s="26" t="str">
        <f>IFERROR(__xludf.DUMMYFUNCTION("""COMPUTED_VALUE"""),"Bajaj Finserv")</f>
        <v>Bajaj Finserv</v>
      </c>
      <c r="B16" s="27">
        <f>IFERROR(__xludf.DUMMYFUNCTION("""COMPUTED_VALUE"""),221292.5064376)</f>
        <v>221292.5064</v>
      </c>
      <c r="C16" s="26">
        <f>IFERROR(__xludf.DUMMYFUNCTION("""COMPUTED_VALUE"""),1391.0)</f>
        <v>1391</v>
      </c>
      <c r="D16" s="26">
        <f>IFERROR(__xludf.DUMMYFUNCTION("""COMPUTED_VALUE"""),40.48)</f>
        <v>40.48</v>
      </c>
      <c r="E16" s="26">
        <f>IFERROR(__xludf.DUMMYFUNCTION("""COMPUTED_VALUE"""),3724.2)</f>
        <v>3724.2</v>
      </c>
      <c r="F16" s="28">
        <f>IFERROR(__xludf.DUMMYFUNCTION("""COMPUTED_VALUE"""),0.6264969657913109)</f>
        <v>0.6264969658</v>
      </c>
      <c r="G16" s="26">
        <f>IFERROR(__xludf.DUMMYFUNCTION("""COMPUTED_VALUE"""),1374.35)</f>
        <v>1374.35</v>
      </c>
      <c r="H16" s="28">
        <f>IFERROR(__xludf.DUMMYFUNCTION("""COMPUTED_VALUE"""),0.012114817913923012)</f>
        <v>0.01211481791</v>
      </c>
      <c r="I16" s="26">
        <f>IFERROR(__xludf.DUMMYFUNCTION("""COMPUTED_VALUE"""),1387.8)</f>
        <v>1387.8</v>
      </c>
      <c r="J16" s="28">
        <f>IFERROR(__xludf.DUMMYFUNCTION("""COMPUTED_VALUE"""),0.002305807753278603)</f>
        <v>0.002305807753</v>
      </c>
      <c r="K16" s="26" t="s">
        <v>239</v>
      </c>
      <c r="L16" s="26" t="s">
        <v>256</v>
      </c>
      <c r="M16" s="29" t="str">
        <f t="array" ref="M16">IF(F16&gt;30%,"YES","NO")</f>
        <v>YES</v>
      </c>
      <c r="N16" s="29" t="str">
        <f t="array" ref="N16">IF(H16&lt;30%,"YES","NO")</f>
        <v>YES</v>
      </c>
      <c r="O16" s="29" t="str">
        <f t="array" ref="O16"> if(AND(D16&lt;65,M16="NO",N16="NO"),"GOOD STOCK","")</f>
        <v/>
      </c>
      <c r="P16" s="29" t="str">
        <f t="array" ref="P16"> ifs((B16/$B$2)*100&gt;=60,"Large cap stocks",and((B16/$B$2)*100&lt;60,(B16/$B$2)*100&gt;40),"Medium cap stocks",(B16/$B$2)*100&lt;40,"Small cap stocks")</f>
        <v>Small cap stocks</v>
      </c>
    </row>
    <row r="17">
      <c r="A17" s="26" t="str">
        <f>IFERROR(__xludf.DUMMYFUNCTION("""COMPUTED_VALUE"""),"Titan")</f>
        <v>Titan</v>
      </c>
      <c r="B17" s="27">
        <f>IFERROR(__xludf.DUMMYFUNCTION("""COMPUTED_VALUE"""),214719.0067183)</f>
        <v>214719.0067</v>
      </c>
      <c r="C17" s="26">
        <f>IFERROR(__xludf.DUMMYFUNCTION("""COMPUTED_VALUE"""),2417.65)</f>
        <v>2417.65</v>
      </c>
      <c r="D17" s="26">
        <f>IFERROR(__xludf.DUMMYFUNCTION("""COMPUTED_VALUE"""),68.59)</f>
        <v>68.59</v>
      </c>
      <c r="E17" s="26">
        <f>IFERROR(__xludf.DUMMYFUNCTION("""COMPUTED_VALUE"""),2790.0)</f>
        <v>2790</v>
      </c>
      <c r="F17" s="28">
        <f>IFERROR(__xludf.DUMMYFUNCTION("""COMPUTED_VALUE"""),0.13345878136200715)</f>
        <v>0.1334587814</v>
      </c>
      <c r="G17" s="26">
        <f>IFERROR(__xludf.DUMMYFUNCTION("""COMPUTED_VALUE"""),1827.15)</f>
        <v>1827.15</v>
      </c>
      <c r="H17" s="28">
        <f>IFERROR(__xludf.DUMMYFUNCTION("""COMPUTED_VALUE"""),0.32318091016063266)</f>
        <v>0.3231809102</v>
      </c>
      <c r="I17" s="26">
        <f>IFERROR(__xludf.DUMMYFUNCTION("""COMPUTED_VALUE"""),2445.65)</f>
        <v>2445.65</v>
      </c>
      <c r="J17" s="28">
        <f>IFERROR(__xludf.DUMMYFUNCTION("""COMPUTED_VALUE"""),-0.011448899065688058)</f>
        <v>-0.01144889907</v>
      </c>
      <c r="K17" s="26" t="s">
        <v>257</v>
      </c>
      <c r="L17" s="26" t="s">
        <v>258</v>
      </c>
      <c r="M17" s="29" t="str">
        <f t="array" ref="M17">IF(F17&gt;30%,"YES","NO")</f>
        <v>NO</v>
      </c>
      <c r="N17" s="29" t="str">
        <f t="array" ref="N17">IF(H17&lt;30%,"YES","NO")</f>
        <v>NO</v>
      </c>
      <c r="O17" s="29" t="str">
        <f t="array" ref="O17"> if(AND(D17&lt;65,M17="NO",N17="NO"),"GOOD STOCK","")</f>
        <v/>
      </c>
      <c r="P17" s="29" t="str">
        <f t="array" ref="P17"> ifs((B17/$B$2)*100&gt;=60,"Large cap stocks",and((B17/$B$2)*100&lt;60,(B17/$B$2)*100&gt;40),"Medium cap stocks",(B17/$B$2)*100&lt;40,"Small cap stocks")</f>
        <v>Small cap stocks</v>
      </c>
    </row>
    <row r="18">
      <c r="A18" s="26" t="str">
        <f>IFERROR(__xludf.DUMMYFUNCTION("""COMPUTED_VALUE"""),"Ultratech Cement")</f>
        <v>Ultratech Cement</v>
      </c>
      <c r="B18" s="27">
        <f>IFERROR(__xludf.DUMMYFUNCTION("""COMPUTED_VALUE"""),208975.8)</f>
        <v>208975.8</v>
      </c>
      <c r="C18" s="26">
        <f>IFERROR(__xludf.DUMMYFUNCTION("""COMPUTED_VALUE"""),7244.95)</f>
        <v>7244.95</v>
      </c>
      <c r="D18" s="26">
        <f>IFERROR(__xludf.DUMMYFUNCTION("""COMPUTED_VALUE"""),31.35)</f>
        <v>31.35</v>
      </c>
      <c r="E18" s="26">
        <f>IFERROR(__xludf.DUMMYFUNCTION("""COMPUTED_VALUE"""),7946.0)</f>
        <v>7946</v>
      </c>
      <c r="F18" s="28">
        <f>IFERROR(__xludf.DUMMYFUNCTION("""COMPUTED_VALUE"""),0.08822678077019887)</f>
        <v>0.08822678077</v>
      </c>
      <c r="G18" s="26">
        <f>IFERROR(__xludf.DUMMYFUNCTION("""COMPUTED_VALUE"""),5157.05)</f>
        <v>5157.05</v>
      </c>
      <c r="H18" s="28">
        <f>IFERROR(__xludf.DUMMYFUNCTION("""COMPUTED_VALUE"""),0.4048632454600982)</f>
        <v>0.4048632455</v>
      </c>
      <c r="I18" s="26">
        <f>IFERROR(__xludf.DUMMYFUNCTION("""COMPUTED_VALUE"""),7153.35)</f>
        <v>7153.35</v>
      </c>
      <c r="J18" s="28">
        <f>IFERROR(__xludf.DUMMYFUNCTION("""COMPUTED_VALUE"""),0.012805189177098764)</f>
        <v>0.01280518918</v>
      </c>
      <c r="K18" s="26" t="s">
        <v>259</v>
      </c>
      <c r="L18" s="26" t="s">
        <v>260</v>
      </c>
      <c r="M18" s="29" t="str">
        <f t="array" ref="M18">IF(F18&gt;30%,"YES","NO")</f>
        <v>NO</v>
      </c>
      <c r="N18" s="29" t="str">
        <f t="array" ref="N18">IF(H18&lt;30%,"YES","NO")</f>
        <v>NO</v>
      </c>
      <c r="O18" s="29" t="str">
        <f t="array" ref="O18"> if(AND(D18&lt;65,M18="NO",N18="NO"),"GOOD STOCK","")</f>
        <v>GOOD STOCK</v>
      </c>
      <c r="P18" s="29" t="str">
        <f t="array" ref="P18"> ifs((B18/$B$2)*100&gt;=60,"Large cap stocks",and((B18/$B$2)*100&lt;60,(B18/$B$2)*100&gt;40),"Medium cap stocks",(B18/$B$2)*100&lt;40,"Small cap stocks")</f>
        <v>Small cap stocks</v>
      </c>
    </row>
    <row r="19">
      <c r="A19" s="26" t="str">
        <f>IFERROR(__xludf.DUMMYFUNCTION("""COMPUTED_VALUE"""),"Nestle")</f>
        <v>Nestle</v>
      </c>
      <c r="B19" s="27">
        <f>IFERROR(__xludf.DUMMYFUNCTION("""COMPUTED_VALUE"""),190752.2)</f>
        <v>190752.2</v>
      </c>
      <c r="C19" s="26">
        <f>IFERROR(__xludf.DUMMYFUNCTION("""COMPUTED_VALUE"""),19782.3)</f>
        <v>19782.3</v>
      </c>
      <c r="D19" s="26">
        <f>IFERROR(__xludf.DUMMYFUNCTION("""COMPUTED_VALUE"""),88.1)</f>
        <v>88.1</v>
      </c>
      <c r="E19" s="26">
        <f>IFERROR(__xludf.DUMMYFUNCTION("""COMPUTED_VALUE"""),21050.0)</f>
        <v>21050</v>
      </c>
      <c r="F19" s="28">
        <f>IFERROR(__xludf.DUMMYFUNCTION("""COMPUTED_VALUE"""),0.060223277909738755)</f>
        <v>0.06022327791</v>
      </c>
      <c r="G19" s="26">
        <f>IFERROR(__xludf.DUMMYFUNCTION("""COMPUTED_VALUE"""),16000.0)</f>
        <v>16000</v>
      </c>
      <c r="H19" s="28">
        <f>IFERROR(__xludf.DUMMYFUNCTION("""COMPUTED_VALUE"""),0.23639374999999996)</f>
        <v>0.23639375</v>
      </c>
      <c r="I19" s="26">
        <f>IFERROR(__xludf.DUMMYFUNCTION("""COMPUTED_VALUE"""),19873.25)</f>
        <v>19873.25</v>
      </c>
      <c r="J19" s="28">
        <f>IFERROR(__xludf.DUMMYFUNCTION("""COMPUTED_VALUE"""),-0.004576503591511238)</f>
        <v>-0.004576503592</v>
      </c>
      <c r="K19" s="26" t="s">
        <v>235</v>
      </c>
      <c r="L19" s="26" t="s">
        <v>261</v>
      </c>
      <c r="M19" s="29" t="str">
        <f t="array" ref="M19">IF(F19&gt;30%,"YES","NO")</f>
        <v>NO</v>
      </c>
      <c r="N19" s="29" t="str">
        <f t="array" ref="N19">IF(H19&lt;30%,"YES","NO")</f>
        <v>YES</v>
      </c>
      <c r="O19" s="29" t="str">
        <f t="array" ref="O19"> if(AND(D19&lt;65,M19="NO",N19="NO"),"GOOD STOCK","")</f>
        <v/>
      </c>
      <c r="P19" s="29" t="str">
        <f t="array" ref="P19"> ifs((B19/$B$2)*100&gt;=60,"Large cap stocks",and((B19/$B$2)*100&lt;60,(B19/$B$2)*100&gt;40),"Medium cap stocks",(B19/$B$2)*100&lt;40,"Small cap stocks")</f>
        <v>Small cap stocks</v>
      </c>
    </row>
    <row r="20">
      <c r="A20" s="26" t="str">
        <f>IFERROR(__xludf.DUMMYFUNCTION("""COMPUTED_VALUE"""),"M&amp;M")</f>
        <v>M&amp;M</v>
      </c>
      <c r="B20" s="27">
        <f>IFERROR(__xludf.DUMMYFUNCTION("""COMPUTED_VALUE"""),158785.3716893)</f>
        <v>158785.3717</v>
      </c>
      <c r="C20" s="26">
        <f>IFERROR(__xludf.DUMMYFUNCTION("""COMPUTED_VALUE"""),1327.55)</f>
        <v>1327.55</v>
      </c>
      <c r="D20" s="26">
        <f>IFERROR(__xludf.DUMMYFUNCTION("""COMPUTED_VALUE"""),16.12)</f>
        <v>16.12</v>
      </c>
      <c r="E20" s="26">
        <f>IFERROR(__xludf.DUMMYFUNCTION("""COMPUTED_VALUE"""),1366.55)</f>
        <v>1366.55</v>
      </c>
      <c r="F20" s="28">
        <f>IFERROR(__xludf.DUMMYFUNCTION("""COMPUTED_VALUE"""),0.028539021623797154)</f>
        <v>0.02853902162</v>
      </c>
      <c r="G20" s="26">
        <f>IFERROR(__xludf.DUMMYFUNCTION("""COMPUTED_VALUE"""),671.15)</f>
        <v>671.15</v>
      </c>
      <c r="H20" s="28">
        <f>IFERROR(__xludf.DUMMYFUNCTION("""COMPUTED_VALUE"""),0.9780227966922447)</f>
        <v>0.9780227967</v>
      </c>
      <c r="I20" s="26">
        <f>IFERROR(__xludf.DUMMYFUNCTION("""COMPUTED_VALUE"""),1319.9)</f>
        <v>1319.9</v>
      </c>
      <c r="J20" s="28">
        <f>IFERROR(__xludf.DUMMYFUNCTION("""COMPUTED_VALUE"""),0.005795893628305071)</f>
        <v>0.005795893628</v>
      </c>
      <c r="K20" s="26" t="s">
        <v>252</v>
      </c>
      <c r="L20" s="26" t="s">
        <v>22</v>
      </c>
      <c r="M20" s="29" t="str">
        <f t="array" ref="M20">IF(F20&gt;30%,"YES","NO")</f>
        <v>NO</v>
      </c>
      <c r="N20" s="29" t="str">
        <f t="array" ref="N20">IF(H20&lt;30%,"YES","NO")</f>
        <v>NO</v>
      </c>
      <c r="O20" s="29" t="str">
        <f t="array" ref="O20"> if(AND(D20&lt;65,M20="NO",N20="NO"),"GOOD STOCK","")</f>
        <v>GOOD STOCK</v>
      </c>
      <c r="P20" s="29" t="str">
        <f t="array" ref="P20"> ifs((B20/$B$2)*100&gt;=60,"Large cap stocks",and((B20/$B$2)*100&lt;60,(B20/$B$2)*100&gt;40),"Medium cap stocks",(B20/$B$2)*100&lt;40,"Small cap stocks")</f>
        <v>Small cap stocks</v>
      </c>
    </row>
    <row r="21">
      <c r="A21" s="26" t="str">
        <f>IFERROR(__xludf.DUMMYFUNCTION("""COMPUTED_VALUE"""),"Tata Steel")</f>
        <v>Tata Steel</v>
      </c>
      <c r="B21" s="27">
        <f>IFERROR(__xludf.DUMMYFUNCTION("""COMPUTED_VALUE"""),147293.6037181)</f>
        <v>147293.6037</v>
      </c>
      <c r="C21" s="26">
        <f>IFERROR(__xludf.DUMMYFUNCTION("""COMPUTED_VALUE"""),120.45)</f>
        <v>120.45</v>
      </c>
      <c r="D21" s="26">
        <f>IFERROR(__xludf.DUMMYFUNCTION("""COMPUTED_VALUE"""),5.13)</f>
        <v>5.13</v>
      </c>
      <c r="E21" s="26">
        <f>IFERROR(__xludf.DUMMYFUNCTION("""COMPUTED_VALUE"""),138.63)</f>
        <v>138.63</v>
      </c>
      <c r="F21" s="28">
        <f>IFERROR(__xludf.DUMMYFUNCTION("""COMPUTED_VALUE"""),0.1311404457909543)</f>
        <v>0.1311404458</v>
      </c>
      <c r="G21" s="26">
        <f>IFERROR(__xludf.DUMMYFUNCTION("""COMPUTED_VALUE"""),82.71)</f>
        <v>82.71</v>
      </c>
      <c r="H21" s="28">
        <f>IFERROR(__xludf.DUMMYFUNCTION("""COMPUTED_VALUE"""),0.45629307217990583)</f>
        <v>0.4562930722</v>
      </c>
      <c r="I21" s="26">
        <f>IFERROR(__xludf.DUMMYFUNCTION("""COMPUTED_VALUE"""),118.05)</f>
        <v>118.05</v>
      </c>
      <c r="J21" s="28">
        <f>IFERROR(__xludf.DUMMYFUNCTION("""COMPUTED_VALUE"""),0.020330368487928893)</f>
        <v>0.02033036849</v>
      </c>
      <c r="K21" s="26" t="s">
        <v>247</v>
      </c>
      <c r="L21" s="26" t="s">
        <v>262</v>
      </c>
      <c r="M21" s="29" t="str">
        <f t="array" ref="M21">IF(F21&gt;30%,"YES","NO")</f>
        <v>NO</v>
      </c>
      <c r="N21" s="29" t="str">
        <f t="array" ref="N21">IF(H21&lt;30%,"YES","NO")</f>
        <v>NO</v>
      </c>
      <c r="O21" s="29" t="str">
        <f t="array" ref="O21"> if(AND(D21&lt;65,M21="NO",N21="NO"),"GOOD STOCK","")</f>
        <v>GOOD STOCK</v>
      </c>
      <c r="P21" s="29" t="str">
        <f t="array" ref="P21"> ifs((B21/$B$2)*100&gt;=60,"Large cap stocks",and((B21/$B$2)*100&lt;60,(B21/$B$2)*100&gt;40),"Medium cap stocks",(B21/$B$2)*100&lt;40,"Small cap stocks")</f>
        <v>Small cap stocks</v>
      </c>
    </row>
    <row r="22">
      <c r="A22" s="26" t="str">
        <f>IFERROR(__xludf.DUMMYFUNCTION("""COMPUTED_VALUE"""),"SBI life Insurance")</f>
        <v>SBI life Insurance</v>
      </c>
      <c r="B22" s="27">
        <f>IFERROR(__xludf.DUMMYFUNCTION("""COMPUTED_VALUE"""),130568.986925)</f>
        <v>130568.9869</v>
      </c>
      <c r="C22" s="26">
        <f>IFERROR(__xludf.DUMMYFUNCTION("""COMPUTED_VALUE"""),1307.0)</f>
        <v>1307</v>
      </c>
      <c r="D22" s="26">
        <f>IFERROR(__xludf.DUMMYFUNCTION("""COMPUTED_VALUE"""),78.07)</f>
        <v>78.07</v>
      </c>
      <c r="E22" s="26">
        <f>IFERROR(__xludf.DUMMYFUNCTION("""COMPUTED_VALUE"""),1340.35)</f>
        <v>1340.35</v>
      </c>
      <c r="F22" s="28">
        <f>IFERROR(__xludf.DUMMYFUNCTION("""COMPUTED_VALUE"""),0.024881560786361705)</f>
        <v>0.02488156079</v>
      </c>
      <c r="G22" s="26">
        <f>IFERROR(__xludf.DUMMYFUNCTION("""COMPUTED_VALUE"""),1003.5)</f>
        <v>1003.5</v>
      </c>
      <c r="H22" s="28">
        <f>IFERROR(__xludf.DUMMYFUNCTION("""COMPUTED_VALUE"""),0.3024414549078226)</f>
        <v>0.3024414549</v>
      </c>
      <c r="I22" s="26">
        <f>IFERROR(__xludf.DUMMYFUNCTION("""COMPUTED_VALUE"""),1315.7)</f>
        <v>1315.7</v>
      </c>
      <c r="J22" s="28">
        <f>IFERROR(__xludf.DUMMYFUNCTION("""COMPUTED_VALUE"""),-0.006612449646576001)</f>
        <v>-0.006612449647</v>
      </c>
      <c r="K22" s="26" t="s">
        <v>240</v>
      </c>
      <c r="L22" s="26" t="s">
        <v>263</v>
      </c>
      <c r="M22" s="29" t="str">
        <f t="array" ref="M22">IF(F22&gt;30%,"YES","NO")</f>
        <v>NO</v>
      </c>
      <c r="N22" s="29" t="str">
        <f t="array" ref="N22">IF(H22&lt;30%,"YES","NO")</f>
        <v>NO</v>
      </c>
      <c r="O22" s="29" t="str">
        <f t="array" ref="O22"> if(AND(D22&lt;65,M22="NO",N22="NO"),"GOOD STOCK","")</f>
        <v/>
      </c>
      <c r="P22" s="29" t="str">
        <f t="array" ref="P22"> ifs((B22/$B$2)*100&gt;=60,"Large cap stocks",and((B22/$B$2)*100&lt;60,(B22/$B$2)*100&gt;40),"Medium cap stocks",(B22/$B$2)*100&lt;40,"Small cap stocks")</f>
        <v>Small cap stocks</v>
      </c>
    </row>
    <row r="23">
      <c r="A23" s="26" t="str">
        <f>IFERROR(__xludf.DUMMYFUNCTION("""COMPUTED_VALUE"""),"HDFC life Insurance")</f>
        <v>HDFC life Insurance</v>
      </c>
      <c r="B23" s="27">
        <f>IFERROR(__xludf.DUMMYFUNCTION("""COMPUTED_VALUE"""),129917.6)</f>
        <v>129917.6</v>
      </c>
      <c r="C23" s="26">
        <f>IFERROR(__xludf.DUMMYFUNCTION("""COMPUTED_VALUE"""),604.0)</f>
        <v>604</v>
      </c>
      <c r="D23" s="26">
        <f>IFERROR(__xludf.DUMMYFUNCTION("""COMPUTED_VALUE"""),85.12)</f>
        <v>85.12</v>
      </c>
      <c r="E23" s="26">
        <f>IFERROR(__xludf.DUMMYFUNCTION("""COMPUTED_VALUE"""),678.8)</f>
        <v>678.8</v>
      </c>
      <c r="F23" s="28">
        <f>IFERROR(__xludf.DUMMYFUNCTION("""COMPUTED_VALUE"""),0.11019446081319971)</f>
        <v>0.1101944608</v>
      </c>
      <c r="G23" s="26">
        <f>IFERROR(__xludf.DUMMYFUNCTION("""COMPUTED_VALUE"""),497.05)</f>
        <v>497.05</v>
      </c>
      <c r="H23" s="28">
        <f>IFERROR(__xludf.DUMMYFUNCTION("""COMPUTED_VALUE"""),0.21516950005029672)</f>
        <v>0.2151695001</v>
      </c>
      <c r="I23" s="26">
        <f>IFERROR(__xludf.DUMMYFUNCTION("""COMPUTED_VALUE"""),598.4)</f>
        <v>598.4</v>
      </c>
      <c r="J23" s="28">
        <f>IFERROR(__xludf.DUMMYFUNCTION("""COMPUTED_VALUE"""),0.009358288770053515)</f>
        <v>0.00935828877</v>
      </c>
      <c r="K23" s="26" t="s">
        <v>240</v>
      </c>
      <c r="L23" s="26" t="s">
        <v>264</v>
      </c>
      <c r="M23" s="29" t="str">
        <f t="array" ref="M23">IF(F23&gt;30%,"YES","NO")</f>
        <v>NO</v>
      </c>
      <c r="N23" s="29" t="str">
        <f t="array" ref="N23">IF(H23&lt;30%,"YES","NO")</f>
        <v>YES</v>
      </c>
      <c r="O23" s="29" t="str">
        <f t="array" ref="O23"> if(AND(D23&lt;65,M23="NO",N23="NO"),"GOOD STOCK","")</f>
        <v/>
      </c>
      <c r="P23" s="29" t="str">
        <f t="array" ref="P23"> ifs((B23/$B$2)*100&gt;=60,"Large cap stocks",and((B23/$B$2)*100&lt;60,(B23/$B$2)*100&gt;40),"Medium cap stocks",(B23/$B$2)*100&lt;40,"Small cap stocks")</f>
        <v>Small cap stocks</v>
      </c>
    </row>
    <row r="24">
      <c r="A24" s="26" t="str">
        <f>IFERROR(__xludf.DUMMYFUNCTION("""COMPUTED_VALUE"""),"Pidilite Industries")</f>
        <v>Pidilite Industries</v>
      </c>
      <c r="B24" s="27">
        <f>IFERROR(__xludf.DUMMYFUNCTION("""COMPUTED_VALUE"""),127340.0)</f>
        <v>127340</v>
      </c>
      <c r="C24" s="26">
        <f>IFERROR(__xludf.DUMMYFUNCTION("""COMPUTED_VALUE"""),2513.0)</f>
        <v>2513</v>
      </c>
      <c r="D24" s="26">
        <f>IFERROR(__xludf.DUMMYFUNCTION("""COMPUTED_VALUE"""),98.38)</f>
        <v>98.38</v>
      </c>
      <c r="E24" s="26">
        <f>IFERROR(__xludf.DUMMYFUNCTION("""COMPUTED_VALUE"""),2918.95)</f>
        <v>2918.95</v>
      </c>
      <c r="F24" s="28">
        <f>IFERROR(__xludf.DUMMYFUNCTION("""COMPUTED_VALUE"""),0.13907398208259814)</f>
        <v>0.1390739821</v>
      </c>
      <c r="G24" s="26">
        <f>IFERROR(__xludf.DUMMYFUNCTION("""COMPUTED_VALUE"""),1988.55)</f>
        <v>1988.55</v>
      </c>
      <c r="H24" s="28">
        <f>IFERROR(__xludf.DUMMYFUNCTION("""COMPUTED_VALUE"""),0.26373488220059843)</f>
        <v>0.2637348822</v>
      </c>
      <c r="I24" s="26">
        <f>IFERROR(__xludf.DUMMYFUNCTION("""COMPUTED_VALUE"""),2495.5)</f>
        <v>2495.5</v>
      </c>
      <c r="J24" s="28">
        <f>IFERROR(__xludf.DUMMYFUNCTION("""COMPUTED_VALUE"""),0.0070126227208976155)</f>
        <v>0.007012622721</v>
      </c>
      <c r="K24" s="26" t="s">
        <v>265</v>
      </c>
      <c r="L24" s="26" t="s">
        <v>266</v>
      </c>
      <c r="M24" s="29" t="str">
        <f t="array" ref="M24">IF(F24&gt;30%,"YES","NO")</f>
        <v>NO</v>
      </c>
      <c r="N24" s="29" t="str">
        <f t="array" ref="N24">IF(H24&lt;30%,"YES","NO")</f>
        <v>YES</v>
      </c>
      <c r="O24" s="29" t="str">
        <f t="array" ref="O24"> if(AND(D24&lt;65,M24="NO",N24="NO"),"GOOD STOCK","")</f>
        <v/>
      </c>
      <c r="P24" s="29" t="str">
        <f t="array" ref="P24"> ifs((B24/$B$2)*100&gt;=60,"Large cap stocks",and((B24/$B$2)*100&lt;60,(B24/$B$2)*100&gt;40),"Medium cap stocks",(B24/$B$2)*100&lt;40,"Small cap stocks")</f>
        <v>Small cap stocks</v>
      </c>
    </row>
    <row r="25">
      <c r="A25" s="26" t="str">
        <f>IFERROR(__xludf.DUMMYFUNCTION("""COMPUTED_VALUE"""),"L&amp;T Infotech")</f>
        <v>L&amp;T Infotech</v>
      </c>
      <c r="B25" s="27">
        <f>IFERROR(__xludf.DUMMYFUNCTION("""COMPUTED_VALUE"""),126813.4)</f>
        <v>126813.4</v>
      </c>
      <c r="C25" s="26">
        <f>IFERROR(__xludf.DUMMYFUNCTION("""COMPUTED_VALUE"""),4289.8)</f>
        <v>4289.8</v>
      </c>
      <c r="D25" s="26">
        <f>IFERROR(__xludf.DUMMYFUNCTION("""COMPUTED_VALUE"""),34.73)</f>
        <v>34.73</v>
      </c>
      <c r="E25" s="26">
        <f>IFERROR(__xludf.DUMMYFUNCTION("""COMPUTED_VALUE"""),4293.25)</f>
        <v>4293.25</v>
      </c>
      <c r="F25" s="28">
        <f>IFERROR(__xludf.DUMMYFUNCTION("""COMPUTED_VALUE"""),8.035870261456514E-4)</f>
        <v>0.0008035870261</v>
      </c>
      <c r="G25" s="26">
        <f>IFERROR(__xludf.DUMMYFUNCTION("""COMPUTED_VALUE"""),4147.45)</f>
        <v>4147.45</v>
      </c>
      <c r="H25" s="28">
        <f>IFERROR(__xludf.DUMMYFUNCTION("""COMPUTED_VALUE"""),0.03432229442187377)</f>
        <v>0.03432229442</v>
      </c>
      <c r="I25" s="26">
        <f>IFERROR(__xludf.DUMMYFUNCTION("""COMPUTED_VALUE"""),4279.2)</f>
        <v>4279.2</v>
      </c>
      <c r="J25" s="28">
        <f>IFERROR(__xludf.DUMMYFUNCTION("""COMPUTED_VALUE"""),0.0024770985230885127)</f>
        <v>0.002477098523</v>
      </c>
      <c r="K25" s="26" t="s">
        <v>233</v>
      </c>
      <c r="L25" s="26" t="s">
        <v>267</v>
      </c>
      <c r="M25" s="29" t="str">
        <f t="array" ref="M25">IF(F25&gt;30%,"YES","NO")</f>
        <v>NO</v>
      </c>
      <c r="N25" s="29" t="str">
        <f t="array" ref="N25">IF(H25&lt;30%,"YES","NO")</f>
        <v>YES</v>
      </c>
      <c r="O25" s="29" t="str">
        <f t="array" ref="O25"> if(AND(D25&lt;65,M25="NO",N25="NO"),"GOOD STOCK","")</f>
        <v/>
      </c>
      <c r="P25" s="29" t="str">
        <f t="array" ref="P25"> ifs((B25/$B$2)*100&gt;=60,"Large cap stocks",and((B25/$B$2)*100&lt;60,(B25/$B$2)*100&gt;40),"Medium cap stocks",(B25/$B$2)*100&lt;40,"Small cap stocks")</f>
        <v>Small cap stocks</v>
      </c>
    </row>
    <row r="26">
      <c r="A26" s="26" t="str">
        <f>IFERROR(__xludf.DUMMYFUNCTION("""COMPUTED_VALUE"""),"Britannia")</f>
        <v>Britannia</v>
      </c>
      <c r="B26" s="27">
        <f>IFERROR(__xludf.DUMMYFUNCTION("""COMPUTED_VALUE"""),104442.9)</f>
        <v>104442.9</v>
      </c>
      <c r="C26" s="26">
        <f>IFERROR(__xludf.DUMMYFUNCTION("""COMPUTED_VALUE"""),4328.0)</f>
        <v>4328</v>
      </c>
      <c r="D26" s="26">
        <f>IFERROR(__xludf.DUMMYFUNCTION("""COMPUTED_VALUE"""),65.9)</f>
        <v>65.9</v>
      </c>
      <c r="E26" s="26">
        <f>IFERROR(__xludf.DUMMYFUNCTION("""COMPUTED_VALUE"""),4537.0)</f>
        <v>4537</v>
      </c>
      <c r="F26" s="28">
        <f>IFERROR(__xludf.DUMMYFUNCTION("""COMPUTED_VALUE"""),0.046065682168834034)</f>
        <v>0.04606568217</v>
      </c>
      <c r="G26" s="26">
        <f>IFERROR(__xludf.DUMMYFUNCTION("""COMPUTED_VALUE"""),3050.0)</f>
        <v>3050</v>
      </c>
      <c r="H26" s="28">
        <f>IFERROR(__xludf.DUMMYFUNCTION("""COMPUTED_VALUE"""),0.4190163934426229)</f>
        <v>0.4190163934</v>
      </c>
      <c r="I26" s="26">
        <f>IFERROR(__xludf.DUMMYFUNCTION("""COMPUTED_VALUE"""),4299.25)</f>
        <v>4299.25</v>
      </c>
      <c r="J26" s="28">
        <f>IFERROR(__xludf.DUMMYFUNCTION("""COMPUTED_VALUE"""),0.006687212885968483)</f>
        <v>0.006687212886</v>
      </c>
      <c r="K26" s="26" t="s">
        <v>235</v>
      </c>
      <c r="L26" s="26" t="s">
        <v>268</v>
      </c>
      <c r="M26" s="29" t="str">
        <f t="array" ref="M26">IF(F26&gt;30%,"YES","NO")</f>
        <v>NO</v>
      </c>
      <c r="N26" s="29" t="str">
        <f t="array" ref="N26">IF(H26&lt;30%,"YES","NO")</f>
        <v>NO</v>
      </c>
      <c r="O26" s="29" t="str">
        <f t="array" ref="O26"> if(AND(D26&lt;65,M26="NO",N26="NO"),"GOOD STOCK","")</f>
        <v/>
      </c>
      <c r="P26" s="29" t="str">
        <f t="array" ref="P26"> ifs((B26/$B$2)*100&gt;=60,"Large cap stocks",and((B26/$B$2)*100&lt;60,(B26/$B$2)*100&gt;40),"Medium cap stocks",(B26/$B$2)*100&lt;40,"Small cap stocks")</f>
        <v>Small cap stocks</v>
      </c>
    </row>
    <row r="27">
      <c r="A27" s="26" t="str">
        <f>IFERROR(__xludf.DUMMYFUNCTION("""COMPUTED_VALUE"""),"Ambuja Cement")</f>
        <v>Ambuja Cement</v>
      </c>
      <c r="B27" s="27">
        <f>IFERROR(__xludf.DUMMYFUNCTION("""COMPUTED_VALUE"""),102995.3567038)</f>
        <v>102995.3567</v>
      </c>
      <c r="C27" s="26">
        <f>IFERROR(__xludf.DUMMYFUNCTION("""COMPUTED_VALUE"""),518.7)</f>
        <v>518.7</v>
      </c>
      <c r="D27" s="26">
        <f>IFERROR(__xludf.DUMMYFUNCTION("""COMPUTED_VALUE"""),57.36)</f>
        <v>57.36</v>
      </c>
      <c r="E27" s="26">
        <f>IFERROR(__xludf.DUMMYFUNCTION("""COMPUTED_VALUE"""),598.15)</f>
        <v>598.15</v>
      </c>
      <c r="F27" s="28">
        <f>IFERROR(__xludf.DUMMYFUNCTION("""COMPUTED_VALUE"""),0.13282621416032755)</f>
        <v>0.1328262142</v>
      </c>
      <c r="G27" s="26">
        <f>IFERROR(__xludf.DUMMYFUNCTION("""COMPUTED_VALUE"""),274.0)</f>
        <v>274</v>
      </c>
      <c r="H27" s="28">
        <f>IFERROR(__xludf.DUMMYFUNCTION("""COMPUTED_VALUE"""),0.8930656934306571)</f>
        <v>0.8930656934</v>
      </c>
      <c r="I27" s="26">
        <f>IFERROR(__xludf.DUMMYFUNCTION("""COMPUTED_VALUE"""),510.4)</f>
        <v>510.4</v>
      </c>
      <c r="J27" s="28">
        <f>IFERROR(__xludf.DUMMYFUNCTION("""COMPUTED_VALUE"""),0.01626175548589355)</f>
        <v>0.01626175549</v>
      </c>
      <c r="K27" s="26" t="s">
        <v>259</v>
      </c>
      <c r="L27" s="26" t="s">
        <v>269</v>
      </c>
      <c r="M27" s="29" t="str">
        <f t="array" ref="M27">IF(F27&gt;30%,"YES","NO")</f>
        <v>NO</v>
      </c>
      <c r="N27" s="29" t="str">
        <f t="array" ref="N27">IF(H27&lt;30%,"YES","NO")</f>
        <v>NO</v>
      </c>
      <c r="O27" s="29" t="str">
        <f t="array" ref="O27"> if(AND(D27&lt;65,M27="NO",N27="NO"),"GOOD STOCK","")</f>
        <v>GOOD STOCK</v>
      </c>
      <c r="P27" s="29" t="str">
        <f t="array" ref="P27"> ifs((B27/$B$2)*100&gt;=60,"Large cap stocks",and((B27/$B$2)*100&lt;60,(B27/$B$2)*100&gt;40),"Medium cap stocks",(B27/$B$2)*100&lt;40,"Small cap stocks")</f>
        <v>Small cap stocks</v>
      </c>
    </row>
    <row r="28">
      <c r="A28" s="26" t="str">
        <f>IFERROR(__xludf.DUMMYFUNCTION("""COMPUTED_VALUE"""),"Bajaj Auto")</f>
        <v>Bajaj Auto</v>
      </c>
      <c r="B28" s="27">
        <f>IFERROR(__xludf.DUMMYFUNCTION("""COMPUTED_VALUE"""),101964.8629622)</f>
        <v>101964.863</v>
      </c>
      <c r="C28" s="26">
        <f>IFERROR(__xludf.DUMMYFUNCTION("""COMPUTED_VALUE"""),3602.45)</f>
        <v>3602.45</v>
      </c>
      <c r="D28" s="26">
        <f>IFERROR(__xludf.DUMMYFUNCTION("""COMPUTED_VALUE"""),17.79)</f>
        <v>17.79</v>
      </c>
      <c r="E28" s="26">
        <f>IFERROR(__xludf.DUMMYFUNCTION("""COMPUTED_VALUE"""),4131.75)</f>
        <v>4131.75</v>
      </c>
      <c r="F28" s="28">
        <f>IFERROR(__xludf.DUMMYFUNCTION("""COMPUTED_VALUE"""),0.12810552429358024)</f>
        <v>0.1281055243</v>
      </c>
      <c r="G28" s="26">
        <f>IFERROR(__xludf.DUMMYFUNCTION("""COMPUTED_VALUE"""),3125.0)</f>
        <v>3125</v>
      </c>
      <c r="H28" s="28">
        <f>IFERROR(__xludf.DUMMYFUNCTION("""COMPUTED_VALUE"""),0.15278399999999995)</f>
        <v>0.152784</v>
      </c>
      <c r="I28" s="26">
        <f>IFERROR(__xludf.DUMMYFUNCTION("""COMPUTED_VALUE"""),3570.3)</f>
        <v>3570.3</v>
      </c>
      <c r="J28" s="28">
        <f>IFERROR(__xludf.DUMMYFUNCTION("""COMPUTED_VALUE"""),0.009004845531187753)</f>
        <v>0.009004845531</v>
      </c>
      <c r="K28" s="26" t="s">
        <v>252</v>
      </c>
      <c r="L28" s="26" t="s">
        <v>270</v>
      </c>
      <c r="M28" s="29" t="str">
        <f t="array" ref="M28">IF(F28&gt;30%,"YES","NO")</f>
        <v>NO</v>
      </c>
      <c r="N28" s="29" t="str">
        <f t="array" ref="N28">IF(H28&lt;30%,"YES","NO")</f>
        <v>YES</v>
      </c>
      <c r="O28" s="29" t="str">
        <f t="array" ref="O28"> if(AND(D28&lt;65,M28="NO",N28="NO"),"GOOD STOCK","")</f>
        <v/>
      </c>
      <c r="P28" s="29" t="str">
        <f t="array" ref="P28"> ifs((B28/$B$2)*100&gt;=60,"Large cap stocks",and((B28/$B$2)*100&lt;60,(B28/$B$2)*100&gt;40),"Medium cap stocks",(B28/$B$2)*100&lt;40,"Small cap stocks")</f>
        <v>Small cap stocks</v>
      </c>
    </row>
    <row r="29">
      <c r="A29" s="26" t="str">
        <f>IFERROR(__xludf.DUMMYFUNCTION("""COMPUTED_VALUE"""),"Tech Mahindra")</f>
        <v>Tech Mahindra</v>
      </c>
      <c r="B29" s="27">
        <f>IFERROR(__xludf.DUMMYFUNCTION("""COMPUTED_VALUE"""),97631.0184537)</f>
        <v>97631.01845</v>
      </c>
      <c r="C29" s="26">
        <f>IFERROR(__xludf.DUMMYFUNCTION("""COMPUTED_VALUE"""),1002.8)</f>
        <v>1002.8</v>
      </c>
      <c r="D29" s="26">
        <f>IFERROR(__xludf.DUMMYFUNCTION("""COMPUTED_VALUE"""),16.8)</f>
        <v>16.8</v>
      </c>
      <c r="E29" s="26">
        <f>IFERROR(__xludf.DUMMYFUNCTION("""COMPUTED_VALUE"""),1751.0)</f>
        <v>1751</v>
      </c>
      <c r="F29" s="28">
        <f>IFERROR(__xludf.DUMMYFUNCTION("""COMPUTED_VALUE"""),0.42729868646487723)</f>
        <v>0.4272986865</v>
      </c>
      <c r="G29" s="26">
        <f>IFERROR(__xludf.DUMMYFUNCTION("""COMPUTED_VALUE"""),943.7)</f>
        <v>943.7</v>
      </c>
      <c r="H29" s="28">
        <f>IFERROR(__xludf.DUMMYFUNCTION("""COMPUTED_VALUE"""),0.06262583448129692)</f>
        <v>0.06262583448</v>
      </c>
      <c r="I29" s="26">
        <f>IFERROR(__xludf.DUMMYFUNCTION("""COMPUTED_VALUE"""),1001.55)</f>
        <v>1001.55</v>
      </c>
      <c r="J29" s="28">
        <f>IFERROR(__xludf.DUMMYFUNCTION("""COMPUTED_VALUE"""),0.0012480654984773601)</f>
        <v>0.001248065498</v>
      </c>
      <c r="K29" s="26" t="s">
        <v>233</v>
      </c>
      <c r="L29" s="26" t="s">
        <v>271</v>
      </c>
      <c r="M29" s="29" t="str">
        <f t="array" ref="M29">IF(F29&gt;30%,"YES","NO")</f>
        <v>YES</v>
      </c>
      <c r="N29" s="29" t="str">
        <f t="array" ref="N29">IF(H29&lt;30%,"YES","NO")</f>
        <v>YES</v>
      </c>
      <c r="O29" s="29" t="str">
        <f t="array" ref="O29"> if(AND(D29&lt;65,M29="NO",N29="NO"),"GOOD STOCK","")</f>
        <v/>
      </c>
      <c r="P29" s="29" t="str">
        <f t="array" ref="P29"> ifs((B29/$B$2)*100&gt;=60,"Large cap stocks",and((B29/$B$2)*100&lt;60,(B29/$B$2)*100&gt;40),"Medium cap stocks",(B29/$B$2)*100&lt;40,"Small cap stocks")</f>
        <v>Small cap stocks</v>
      </c>
    </row>
    <row r="30">
      <c r="A30" s="26" t="str">
        <f>IFERROR(__xludf.DUMMYFUNCTION("""COMPUTED_VALUE"""),"Dabur")</f>
        <v>Dabur</v>
      </c>
      <c r="B30" s="27">
        <f>IFERROR(__xludf.DUMMYFUNCTION("""COMPUTED_VALUE"""),96383.9372552)</f>
        <v>96383.93726</v>
      </c>
      <c r="C30" s="26">
        <f>IFERROR(__xludf.DUMMYFUNCTION("""COMPUTED_VALUE"""),544.0)</f>
        <v>544</v>
      </c>
      <c r="D30" s="26">
        <f>IFERROR(__xludf.DUMMYFUNCTION("""COMPUTED_VALUE"""),55.79)</f>
        <v>55.79</v>
      </c>
      <c r="E30" s="26">
        <f>IFERROR(__xludf.DUMMYFUNCTION("""COMPUTED_VALUE"""),610.75)</f>
        <v>610.75</v>
      </c>
      <c r="F30" s="28">
        <f>IFERROR(__xludf.DUMMYFUNCTION("""COMPUTED_VALUE"""),0.10929185427752763)</f>
        <v>0.1092918543</v>
      </c>
      <c r="G30" s="26">
        <f>IFERROR(__xludf.DUMMYFUNCTION("""COMPUTED_VALUE"""),482.25)</f>
        <v>482.25</v>
      </c>
      <c r="H30" s="28">
        <f>IFERROR(__xludf.DUMMYFUNCTION("""COMPUTED_VALUE"""),0.12804561949196475)</f>
        <v>0.1280456195</v>
      </c>
      <c r="I30" s="26">
        <f>IFERROR(__xludf.DUMMYFUNCTION("""COMPUTED_VALUE"""),544.95)</f>
        <v>544.95</v>
      </c>
      <c r="J30" s="28">
        <f>IFERROR(__xludf.DUMMYFUNCTION("""COMPUTED_VALUE"""),-0.0017432791999266821)</f>
        <v>-0.0017432792</v>
      </c>
      <c r="K30" s="26" t="s">
        <v>235</v>
      </c>
      <c r="L30" s="26" t="s">
        <v>272</v>
      </c>
      <c r="M30" s="29" t="str">
        <f t="array" ref="M30">IF(F30&gt;30%,"YES","NO")</f>
        <v>NO</v>
      </c>
      <c r="N30" s="29" t="str">
        <f t="array" ref="N30">IF(H30&lt;30%,"YES","NO")</f>
        <v>YES</v>
      </c>
      <c r="O30" s="29" t="str">
        <f t="array" ref="O30"> if(AND(D30&lt;65,M30="NO",N30="NO"),"GOOD STOCK","")</f>
        <v/>
      </c>
      <c r="P30" s="29" t="str">
        <f t="array" ref="P30"> ifs((B30/$B$2)*100&gt;=60,"Large cap stocks",and((B30/$B$2)*100&lt;60,(B30/$B$2)*100&gt;40),"Medium cap stocks",(B30/$B$2)*100&lt;40,"Small cap stocks")</f>
        <v>Small cap stocks</v>
      </c>
    </row>
    <row r="31">
      <c r="A31" s="26" t="str">
        <f>IFERROR(__xludf.DUMMYFUNCTION("""COMPUTED_VALUE"""),"Bank of Baroda")</f>
        <v>Bank of Baroda</v>
      </c>
      <c r="B31" s="27">
        <f>IFERROR(__xludf.DUMMYFUNCTION("""COMPUTED_VALUE"""),95565.8761753)</f>
        <v>95565.87618</v>
      </c>
      <c r="C31" s="26">
        <f>IFERROR(__xludf.DUMMYFUNCTION("""COMPUTED_VALUE"""),184.9)</f>
        <v>184.9</v>
      </c>
      <c r="D31" s="26">
        <f>IFERROR(__xludf.DUMMYFUNCTION("""COMPUTED_VALUE"""),9.72)</f>
        <v>9.72</v>
      </c>
      <c r="E31" s="26">
        <f>IFERROR(__xludf.DUMMYFUNCTION("""COMPUTED_VALUE"""),197.2)</f>
        <v>197.2</v>
      </c>
      <c r="F31" s="28">
        <f>IFERROR(__xludf.DUMMYFUNCTION("""COMPUTED_VALUE"""),0.06237322515212974)</f>
        <v>0.06237322515</v>
      </c>
      <c r="G31" s="26">
        <f>IFERROR(__xludf.DUMMYFUNCTION("""COMPUTED_VALUE"""),89.9)</f>
        <v>89.9</v>
      </c>
      <c r="H31" s="28">
        <f>IFERROR(__xludf.DUMMYFUNCTION("""COMPUTED_VALUE"""),1.0567296996662958)</f>
        <v>1.0567297</v>
      </c>
      <c r="I31" s="26">
        <f>IFERROR(__xludf.DUMMYFUNCTION("""COMPUTED_VALUE"""),181.8)</f>
        <v>181.8</v>
      </c>
      <c r="J31" s="28">
        <f>IFERROR(__xludf.DUMMYFUNCTION("""COMPUTED_VALUE"""),0.01705170517051702)</f>
        <v>0.01705170517</v>
      </c>
      <c r="K31" s="26" t="s">
        <v>237</v>
      </c>
      <c r="L31" s="26" t="s">
        <v>273</v>
      </c>
      <c r="M31" s="29" t="str">
        <f t="array" ref="M31">IF(F31&gt;30%,"YES","NO")</f>
        <v>NO</v>
      </c>
      <c r="N31" s="29" t="str">
        <f t="array" ref="N31">IF(H31&lt;30%,"YES","NO")</f>
        <v>NO</v>
      </c>
      <c r="O31" s="29" t="str">
        <f t="array" ref="O31"> if(AND(D31&lt;65,M31="NO",N31="NO"),"GOOD STOCK","")</f>
        <v>GOOD STOCK</v>
      </c>
      <c r="P31" s="29" t="str">
        <f t="array" ref="P31"> ifs((B31/$B$2)*100&gt;=60,"Large cap stocks",and((B31/$B$2)*100&lt;60,(B31/$B$2)*100&gt;40),"Medium cap stocks",(B31/$B$2)*100&lt;40,"Small cap stocks")</f>
        <v>Small cap stocks</v>
      </c>
    </row>
    <row r="32">
      <c r="A32" s="26" t="str">
        <f>IFERROR(__xludf.DUMMYFUNCTION("""COMPUTED_VALUE"""),"Godrej Consumer")</f>
        <v>Godrej Consumer</v>
      </c>
      <c r="B32" s="27">
        <f>IFERROR(__xludf.DUMMYFUNCTION("""COMPUTED_VALUE"""),93678.862)</f>
        <v>93678.862</v>
      </c>
      <c r="C32" s="26">
        <f>IFERROR(__xludf.DUMMYFUNCTION("""COMPUTED_VALUE"""),916.75)</f>
        <v>916.75</v>
      </c>
      <c r="D32" s="26">
        <f>IFERROR(__xludf.DUMMYFUNCTION("""COMPUTED_VALUE"""),58.81)</f>
        <v>58.81</v>
      </c>
      <c r="E32" s="26">
        <f>IFERROR(__xludf.DUMMYFUNCTION("""COMPUTED_VALUE"""),955.65)</f>
        <v>955.65</v>
      </c>
      <c r="F32" s="28">
        <f>IFERROR(__xludf.DUMMYFUNCTION("""COMPUTED_VALUE"""),0.04070527912938835)</f>
        <v>0.04070527913</v>
      </c>
      <c r="G32" s="26">
        <f>IFERROR(__xludf.DUMMYFUNCTION("""COMPUTED_VALUE"""),660.2)</f>
        <v>660.2</v>
      </c>
      <c r="H32" s="28">
        <f>IFERROR(__xludf.DUMMYFUNCTION("""COMPUTED_VALUE"""),0.3885943653438351)</f>
        <v>0.3885943653</v>
      </c>
      <c r="I32" s="26">
        <f>IFERROR(__xludf.DUMMYFUNCTION("""COMPUTED_VALUE"""),914.9)</f>
        <v>914.9</v>
      </c>
      <c r="J32" s="28">
        <f>IFERROR(__xludf.DUMMYFUNCTION("""COMPUTED_VALUE"""),0.00202207891572852)</f>
        <v>0.002022078916</v>
      </c>
      <c r="K32" s="26" t="s">
        <v>235</v>
      </c>
      <c r="L32" s="26" t="s">
        <v>274</v>
      </c>
      <c r="M32" s="29" t="str">
        <f t="array" ref="M32">IF(F32&gt;30%,"YES","NO")</f>
        <v>NO</v>
      </c>
      <c r="N32" s="29" t="str">
        <f t="array" ref="N32">IF(H32&lt;30%,"YES","NO")</f>
        <v>NO</v>
      </c>
      <c r="O32" s="29" t="str">
        <f t="array" ref="O32"> if(AND(D32&lt;65,M32="NO",N32="NO"),"GOOD STOCK","")</f>
        <v>GOOD STOCK</v>
      </c>
      <c r="P32" s="29" t="str">
        <f t="array" ref="P32"> ifs((B32/$B$2)*100&gt;=60,"Large cap stocks",and((B32/$B$2)*100&lt;60,(B32/$B$2)*100&gt;40),"Medium cap stocks",(B32/$B$2)*100&lt;40,"Small cap stocks")</f>
        <v>Small cap stocks</v>
      </c>
    </row>
    <row r="33">
      <c r="A33" s="26" t="str">
        <f>IFERROR(__xludf.DUMMYFUNCTION("""COMPUTED_VALUE"""),"Divi's Lab")</f>
        <v>Divi's Lab</v>
      </c>
      <c r="B33" s="27">
        <f>IFERROR(__xludf.DUMMYFUNCTION("""COMPUTED_VALUE"""),88977.11)</f>
        <v>88977.11</v>
      </c>
      <c r="C33" s="26">
        <f>IFERROR(__xludf.DUMMYFUNCTION("""COMPUTED_VALUE"""),3352.15)</f>
        <v>3352.15</v>
      </c>
      <c r="D33" s="26">
        <f>IFERROR(__xludf.DUMMYFUNCTION("""COMPUTED_VALUE"""),29.74)</f>
        <v>29.74</v>
      </c>
      <c r="E33" s="26">
        <f>IFERROR(__xludf.DUMMYFUNCTION("""COMPUTED_VALUE"""),4668.0)</f>
        <v>4668</v>
      </c>
      <c r="F33" s="28">
        <f>IFERROR(__xludf.DUMMYFUNCTION("""COMPUTED_VALUE"""),0.28188731790916877)</f>
        <v>0.2818873179</v>
      </c>
      <c r="G33" s="26">
        <f>IFERROR(__xludf.DUMMYFUNCTION("""COMPUTED_VALUE"""),3195.15)</f>
        <v>3195.15</v>
      </c>
      <c r="H33" s="28">
        <f>IFERROR(__xludf.DUMMYFUNCTION("""COMPUTED_VALUE"""),0.049136973225044206)</f>
        <v>0.04913697323</v>
      </c>
      <c r="I33" s="26">
        <f>IFERROR(__xludf.DUMMYFUNCTION("""COMPUTED_VALUE"""),3305.3)</f>
        <v>3305.3</v>
      </c>
      <c r="J33" s="28">
        <f>IFERROR(__xludf.DUMMYFUNCTION("""COMPUTED_VALUE"""),0.014174205064593201)</f>
        <v>0.01417420506</v>
      </c>
      <c r="K33" s="26" t="s">
        <v>254</v>
      </c>
      <c r="L33" s="26" t="s">
        <v>275</v>
      </c>
      <c r="M33" s="29" t="str">
        <f t="array" ref="M33">IF(F33&gt;30%,"YES","NO")</f>
        <v>NO</v>
      </c>
      <c r="N33" s="29" t="str">
        <f t="array" ref="N33">IF(H33&lt;30%,"YES","NO")</f>
        <v>YES</v>
      </c>
      <c r="O33" s="29" t="str">
        <f t="array" ref="O33"> if(AND(D33&lt;65,M33="NO",N33="NO"),"GOOD STOCK","")</f>
        <v/>
      </c>
      <c r="P33" s="29" t="str">
        <f t="array" ref="P33"> ifs((B33/$B$2)*100&gt;=60,"Large cap stocks",and((B33/$B$2)*100&lt;60,(B33/$B$2)*100&gt;40),"Medium cap stocks",(B33/$B$2)*100&lt;40,"Small cap stocks")</f>
        <v>Small cap stocks</v>
      </c>
    </row>
    <row r="34">
      <c r="A34" s="26" t="str">
        <f>IFERROR(__xludf.DUMMYFUNCTION("""COMPUTED_VALUE"""),"Shree Cement")</f>
        <v>Shree Cement</v>
      </c>
      <c r="B34" s="27">
        <f>IFERROR(__xludf.DUMMYFUNCTION("""COMPUTED_VALUE"""),87098.03)</f>
        <v>87098.03</v>
      </c>
      <c r="C34" s="26">
        <f>IFERROR(__xludf.DUMMYFUNCTION("""COMPUTED_VALUE"""),24025.0)</f>
        <v>24025</v>
      </c>
      <c r="D34" s="26">
        <f>IFERROR(__xludf.DUMMYFUNCTION("""COMPUTED_VALUE"""),54.11)</f>
        <v>54.11</v>
      </c>
      <c r="E34" s="26">
        <f>IFERROR(__xludf.DUMMYFUNCTION("""COMPUTED_VALUE"""),27936.75)</f>
        <v>27936.75</v>
      </c>
      <c r="F34" s="28">
        <f>IFERROR(__xludf.DUMMYFUNCTION("""COMPUTED_VALUE"""),0.14002165606235514)</f>
        <v>0.1400216561</v>
      </c>
      <c r="G34" s="26">
        <f>IFERROR(__xludf.DUMMYFUNCTION("""COMPUTED_VALUE"""),17865.2)</f>
        <v>17865.2</v>
      </c>
      <c r="H34" s="28">
        <f>IFERROR(__xludf.DUMMYFUNCTION("""COMPUTED_VALUE"""),0.34479322929494205)</f>
        <v>0.3447932293</v>
      </c>
      <c r="I34" s="26">
        <f>IFERROR(__xludf.DUMMYFUNCTION("""COMPUTED_VALUE"""),23854.85)</f>
        <v>23854.85</v>
      </c>
      <c r="J34" s="28">
        <f>IFERROR(__xludf.DUMMYFUNCTION("""COMPUTED_VALUE"""),0.007132721438198163)</f>
        <v>0.007132721438</v>
      </c>
      <c r="K34" s="26" t="s">
        <v>259</v>
      </c>
      <c r="L34" s="26" t="s">
        <v>276</v>
      </c>
      <c r="M34" s="29" t="str">
        <f t="array" ref="M34">IF(F34&gt;30%,"YES","NO")</f>
        <v>NO</v>
      </c>
      <c r="N34" s="29" t="str">
        <f t="array" ref="N34">IF(H34&lt;30%,"YES","NO")</f>
        <v>NO</v>
      </c>
      <c r="O34" s="29" t="str">
        <f t="array" ref="O34"> if(AND(D34&lt;65,M34="NO",N34="NO"),"GOOD STOCK","")</f>
        <v>GOOD STOCK</v>
      </c>
      <c r="P34" s="29" t="str">
        <f t="array" ref="P34"> ifs((B34/$B$2)*100&gt;=60,"Large cap stocks",and((B34/$B$2)*100&lt;60,(B34/$B$2)*100&gt;40),"Medium cap stocks",(B34/$B$2)*100&lt;40,"Small cap stocks")</f>
        <v>Small cap stocks</v>
      </c>
    </row>
    <row r="35">
      <c r="A35" s="26" t="str">
        <f>IFERROR(__xludf.DUMMYFUNCTION("""COMPUTED_VALUE"""),"Eicher Motor")</f>
        <v>Eicher Motor</v>
      </c>
      <c r="B35" s="27">
        <f>IFERROR(__xludf.DUMMYFUNCTION("""COMPUTED_VALUE"""),86543.2296232)</f>
        <v>86543.22962</v>
      </c>
      <c r="C35" s="26">
        <f>IFERROR(__xludf.DUMMYFUNCTION("""COMPUTED_VALUE"""),3164.9)</f>
        <v>3164.9</v>
      </c>
      <c r="D35" s="26">
        <f>IFERROR(__xludf.DUMMYFUNCTION("""COMPUTED_VALUE"""),37.12)</f>
        <v>37.12</v>
      </c>
      <c r="E35" s="26">
        <f>IFERROR(__xludf.DUMMYFUNCTION("""COMPUTED_VALUE"""),3889.65)</f>
        <v>3889.65</v>
      </c>
      <c r="F35" s="28">
        <f>IFERROR(__xludf.DUMMYFUNCTION("""COMPUTED_VALUE"""),0.18632781869834047)</f>
        <v>0.1863278187</v>
      </c>
      <c r="G35" s="26">
        <f>IFERROR(__xludf.DUMMYFUNCTION("""COMPUTED_VALUE"""),2159.55)</f>
        <v>2159.55</v>
      </c>
      <c r="H35" s="28">
        <f>IFERROR(__xludf.DUMMYFUNCTION("""COMPUTED_VALUE"""),0.4655368016484915)</f>
        <v>0.4655368016</v>
      </c>
      <c r="I35" s="26">
        <f>IFERROR(__xludf.DUMMYFUNCTION("""COMPUTED_VALUE"""),3103.25)</f>
        <v>3103.25</v>
      </c>
      <c r="J35" s="28">
        <f>IFERROR(__xludf.DUMMYFUNCTION("""COMPUTED_VALUE"""),0.019866269233867747)</f>
        <v>0.01986626923</v>
      </c>
      <c r="K35" s="26" t="s">
        <v>252</v>
      </c>
      <c r="L35" s="26" t="s">
        <v>277</v>
      </c>
      <c r="M35" s="29" t="str">
        <f t="array" ref="M35">IF(F35&gt;30%,"YES","NO")</f>
        <v>NO</v>
      </c>
      <c r="N35" s="29" t="str">
        <f t="array" ref="N35">IF(H35&lt;30%,"YES","NO")</f>
        <v>NO</v>
      </c>
      <c r="O35" s="29" t="str">
        <f t="array" ref="O35"> if(AND(D35&lt;65,M35="NO",N35="NO"),"GOOD STOCK","")</f>
        <v>GOOD STOCK</v>
      </c>
      <c r="P35" s="29" t="str">
        <f t="array" ref="P35"> ifs((B35/$B$2)*100&gt;=60,"Large cap stocks",and((B35/$B$2)*100&lt;60,(B35/$B$2)*100&gt;40),"Medium cap stocks",(B35/$B$2)*100&lt;40,"Small cap stocks")</f>
        <v>Small cap stocks</v>
      </c>
    </row>
    <row r="36">
      <c r="A36" s="26" t="str">
        <f>IFERROR(__xludf.DUMMYFUNCTION("""COMPUTED_VALUE"""),"Cipla")</f>
        <v>Cipla</v>
      </c>
      <c r="B36" s="27">
        <f>IFERROR(__xludf.DUMMYFUNCTION("""COMPUTED_VALUE"""),86182.29)</f>
        <v>86182.29</v>
      </c>
      <c r="C36" s="26">
        <f>IFERROR(__xludf.DUMMYFUNCTION("""COMPUTED_VALUE"""),1068.85)</f>
        <v>1068.85</v>
      </c>
      <c r="D36" s="26">
        <f>IFERROR(__xludf.DUMMYFUNCTION("""COMPUTED_VALUE"""),33.64)</f>
        <v>33.64</v>
      </c>
      <c r="E36" s="26">
        <f>IFERROR(__xludf.DUMMYFUNCTION("""COMPUTED_VALUE"""),1185.25)</f>
        <v>1185.25</v>
      </c>
      <c r="F36" s="28">
        <f>IFERROR(__xludf.DUMMYFUNCTION("""COMPUTED_VALUE"""),0.09820712929761662)</f>
        <v>0.0982071293</v>
      </c>
      <c r="G36" s="26">
        <f>IFERROR(__xludf.DUMMYFUNCTION("""COMPUTED_VALUE"""),860.0)</f>
        <v>860</v>
      </c>
      <c r="H36" s="28">
        <f>IFERROR(__xludf.DUMMYFUNCTION("""COMPUTED_VALUE"""),0.24284883720930223)</f>
        <v>0.2428488372</v>
      </c>
      <c r="I36" s="26">
        <f>IFERROR(__xludf.DUMMYFUNCTION("""COMPUTED_VALUE"""),1061.15)</f>
        <v>1061.15</v>
      </c>
      <c r="J36" s="28">
        <f>IFERROR(__xludf.DUMMYFUNCTION("""COMPUTED_VALUE"""),0.007256278565706844)</f>
        <v>0.007256278566</v>
      </c>
      <c r="K36" s="26" t="s">
        <v>254</v>
      </c>
      <c r="L36" s="26" t="s">
        <v>278</v>
      </c>
      <c r="M36" s="29" t="str">
        <f t="array" ref="M36">IF(F36&gt;30%,"YES","NO")</f>
        <v>NO</v>
      </c>
      <c r="N36" s="29" t="str">
        <f t="array" ref="N36">IF(H36&lt;30%,"YES","NO")</f>
        <v>YES</v>
      </c>
      <c r="O36" s="29" t="str">
        <f t="array" ref="O36"> if(AND(D36&lt;65,M36="NO",N36="NO"),"GOOD STOCK","")</f>
        <v/>
      </c>
      <c r="P36" s="29" t="str">
        <f t="array" ref="P36"> ifs((B36/$B$2)*100&gt;=60,"Large cap stocks",and((B36/$B$2)*100&lt;60,(B36/$B$2)*100&gt;40),"Medium cap stocks",(B36/$B$2)*100&lt;40,"Small cap stocks")</f>
        <v>Small cap stocks</v>
      </c>
    </row>
    <row r="37">
      <c r="A37" s="26" t="str">
        <f>IFERROR(__xludf.DUMMYFUNCTION("""COMPUTED_VALUE"""),"SBI Cards")</f>
        <v>SBI Cards</v>
      </c>
      <c r="B37" s="27">
        <f>IFERROR(__xludf.DUMMYFUNCTION("""COMPUTED_VALUE"""),74336.7630665)</f>
        <v>74336.76307</v>
      </c>
      <c r="C37" s="26">
        <f>IFERROR(__xludf.DUMMYFUNCTION("""COMPUTED_VALUE"""),786.05)</f>
        <v>786.05</v>
      </c>
      <c r="D37" s="26">
        <f>IFERROR(__xludf.DUMMYFUNCTION("""COMPUTED_VALUE"""),35.28)</f>
        <v>35.28</v>
      </c>
      <c r="E37" s="26">
        <f>IFERROR(__xludf.DUMMYFUNCTION("""COMPUTED_VALUE"""),1028.65)</f>
        <v>1028.65</v>
      </c>
      <c r="F37" s="28">
        <f>IFERROR(__xludf.DUMMYFUNCTION("""COMPUTED_VALUE"""),0.2358430953191077)</f>
        <v>0.2358430953</v>
      </c>
      <c r="G37" s="26">
        <f>IFERROR(__xludf.DUMMYFUNCTION("""COMPUTED_VALUE"""),655.7)</f>
        <v>655.7</v>
      </c>
      <c r="H37" s="28">
        <f>IFERROR(__xludf.DUMMYFUNCTION("""COMPUTED_VALUE"""),0.1987951807228914)</f>
        <v>0.1987951807</v>
      </c>
      <c r="I37" s="26">
        <f>IFERROR(__xludf.DUMMYFUNCTION("""COMPUTED_VALUE"""),780.25)</f>
        <v>780.25</v>
      </c>
      <c r="J37" s="28">
        <f>IFERROR(__xludf.DUMMYFUNCTION("""COMPUTED_VALUE"""),0.007433514899070752)</f>
        <v>0.007433514899</v>
      </c>
      <c r="K37" s="26" t="s">
        <v>239</v>
      </c>
      <c r="L37" s="26" t="s">
        <v>279</v>
      </c>
      <c r="M37" s="29" t="str">
        <f t="array" ref="M37">IF(F37&gt;30%,"YES","NO")</f>
        <v>NO</v>
      </c>
      <c r="N37" s="29" t="str">
        <f t="array" ref="N37">IF(H37&lt;30%,"YES","NO")</f>
        <v>YES</v>
      </c>
      <c r="O37" s="29" t="str">
        <f t="array" ref="O37"> if(AND(D37&lt;65,M37="NO",N37="NO"),"GOOD STOCK","")</f>
        <v/>
      </c>
      <c r="P37" s="29" t="str">
        <f t="array" ref="P37"> ifs((B37/$B$2)*100&gt;=60,"Large cap stocks",and((B37/$B$2)*100&lt;60,(B37/$B$2)*100&gt;40),"Medium cap stocks",(B37/$B$2)*100&lt;40,"Small cap stocks")</f>
        <v>Small cap stocks</v>
      </c>
    </row>
    <row r="38">
      <c r="A38" s="26" t="str">
        <f>IFERROR(__xludf.DUMMYFUNCTION("""COMPUTED_VALUE"""),"Varun Beverage")</f>
        <v>Varun Beverage</v>
      </c>
      <c r="B38" s="27">
        <f>IFERROR(__xludf.DUMMYFUNCTION("""COMPUTED_VALUE"""),73698.477067)</f>
        <v>73698.47707</v>
      </c>
      <c r="C38" s="26">
        <f>IFERROR(__xludf.DUMMYFUNCTION("""COMPUTED_VALUE"""),1134.8)</f>
        <v>1134.8</v>
      </c>
      <c r="D38" s="26">
        <f>IFERROR(__xludf.DUMMYFUNCTION("""COMPUTED_VALUE"""),51.22)</f>
        <v>51.22</v>
      </c>
      <c r="E38" s="26">
        <f>IFERROR(__xludf.DUMMYFUNCTION("""COMPUTED_VALUE"""),1432.05)</f>
        <v>1432.05</v>
      </c>
      <c r="F38" s="28">
        <f>IFERROR(__xludf.DUMMYFUNCTION("""COMPUTED_VALUE"""),0.20756956810167243)</f>
        <v>0.2075695681</v>
      </c>
      <c r="G38" s="26">
        <f>IFERROR(__xludf.DUMMYFUNCTION("""COMPUTED_VALUE"""),557.23)</f>
        <v>557.23</v>
      </c>
      <c r="H38" s="28">
        <f>IFERROR(__xludf.DUMMYFUNCTION("""COMPUTED_VALUE"""),1.036501983023168)</f>
        <v>1.036501983</v>
      </c>
      <c r="I38" s="26">
        <f>IFERROR(__xludf.DUMMYFUNCTION("""COMPUTED_VALUE"""),1187.3)</f>
        <v>1187.3</v>
      </c>
      <c r="J38" s="28">
        <f>IFERROR(__xludf.DUMMYFUNCTION("""COMPUTED_VALUE"""),-0.04421797355344058)</f>
        <v>-0.04421797355</v>
      </c>
      <c r="K38" s="26" t="s">
        <v>280</v>
      </c>
      <c r="L38" s="26" t="s">
        <v>281</v>
      </c>
      <c r="M38" s="29" t="str">
        <f t="array" ref="M38">IF(F38&gt;30%,"YES","NO")</f>
        <v>NO</v>
      </c>
      <c r="N38" s="29" t="str">
        <f t="array" ref="N38">IF(H38&lt;30%,"YES","NO")</f>
        <v>NO</v>
      </c>
      <c r="O38" s="29" t="str">
        <f t="array" ref="O38"> if(AND(D38&lt;65,M38="NO",N38="NO"),"GOOD STOCK","")</f>
        <v>GOOD STOCK</v>
      </c>
      <c r="P38" s="29" t="str">
        <f t="array" ref="P38"> ifs((B38/$B$2)*100&gt;=60,"Large cap stocks",and((B38/$B$2)*100&lt;60,(B38/$B$2)*100&gt;40),"Medium cap stocks",(B38/$B$2)*100&lt;40,"Small cap stocks")</f>
        <v>Small cap stocks</v>
      </c>
    </row>
    <row r="39">
      <c r="A39" s="26" t="str">
        <f>IFERROR(__xludf.DUMMYFUNCTION("""COMPUTED_VALUE"""),"Havells India")</f>
        <v>Havells India</v>
      </c>
      <c r="B39" s="27">
        <f>IFERROR(__xludf.DUMMYFUNCTION("""COMPUTED_VALUE"""),73418.66784)</f>
        <v>73418.66784</v>
      </c>
      <c r="C39" s="26">
        <f>IFERROR(__xludf.DUMMYFUNCTION("""COMPUTED_VALUE"""),1167.55)</f>
        <v>1167.55</v>
      </c>
      <c r="D39" s="26">
        <f>IFERROR(__xludf.DUMMYFUNCTION("""COMPUTED_VALUE"""),67.24)</f>
        <v>67.24</v>
      </c>
      <c r="E39" s="26">
        <f>IFERROR(__xludf.DUMMYFUNCTION("""COMPUTED_VALUE"""),1405.55)</f>
        <v>1405.55</v>
      </c>
      <c r="F39" s="28">
        <f>IFERROR(__xludf.DUMMYFUNCTION("""COMPUTED_VALUE"""),0.16932873252463448)</f>
        <v>0.1693287325</v>
      </c>
      <c r="G39" s="26">
        <f>IFERROR(__xludf.DUMMYFUNCTION("""COMPUTED_VALUE"""),1024.5)</f>
        <v>1024.5</v>
      </c>
      <c r="H39" s="28">
        <f>IFERROR(__xludf.DUMMYFUNCTION("""COMPUTED_VALUE"""),0.1396290873596876)</f>
        <v>0.1396290874</v>
      </c>
      <c r="I39" s="26">
        <f>IFERROR(__xludf.DUMMYFUNCTION("""COMPUTED_VALUE"""),1192.6)</f>
        <v>1192.6</v>
      </c>
      <c r="J39" s="28">
        <f>IFERROR(__xludf.DUMMYFUNCTION("""COMPUTED_VALUE"""),-0.021004527922186784)</f>
        <v>-0.02100452792</v>
      </c>
      <c r="K39" s="26" t="s">
        <v>282</v>
      </c>
      <c r="L39" s="26" t="s">
        <v>283</v>
      </c>
      <c r="M39" s="29" t="str">
        <f t="array" ref="M39">IF(F39&gt;30%,"YES","NO")</f>
        <v>NO</v>
      </c>
      <c r="N39" s="29" t="str">
        <f t="array" ref="N39">IF(H39&lt;30%,"YES","NO")</f>
        <v>YES</v>
      </c>
      <c r="O39" s="29" t="str">
        <f t="array" ref="O39"> if(AND(D39&lt;65,M39="NO",N39="NO"),"GOOD STOCK","")</f>
        <v/>
      </c>
      <c r="P39" s="29" t="str">
        <f t="array" ref="P39"> ifs((B39/$B$2)*100&gt;=60,"Large cap stocks",and((B39/$B$2)*100&lt;60,(B39/$B$2)*100&gt;40),"Medium cap stocks",(B39/$B$2)*100&lt;40,"Small cap stocks")</f>
        <v>Small cap stocks</v>
      </c>
    </row>
    <row r="40">
      <c r="A40" s="26" t="str">
        <f>IFERROR(__xludf.DUMMYFUNCTION("""COMPUTED_VALUE"""),"Tata Consumer Product")</f>
        <v>Tata Consumer Product</v>
      </c>
      <c r="B40" s="27">
        <f>IFERROR(__xludf.DUMMYFUNCTION("""COMPUTED_VALUE"""),69898.9623697)</f>
        <v>69898.96237</v>
      </c>
      <c r="C40" s="26">
        <f>IFERROR(__xludf.DUMMYFUNCTION("""COMPUTED_VALUE"""),752.8)</f>
        <v>752.8</v>
      </c>
      <c r="D40" s="26">
        <f>IFERROR(__xludf.DUMMYFUNCTION("""COMPUTED_VALUE"""),65.04)</f>
        <v>65.04</v>
      </c>
      <c r="E40" s="26">
        <f>IFERROR(__xludf.DUMMYFUNCTION("""COMPUTED_VALUE"""),861.15)</f>
        <v>861.15</v>
      </c>
      <c r="F40" s="28">
        <f>IFERROR(__xludf.DUMMYFUNCTION("""COMPUTED_VALUE"""),0.12582012425245315)</f>
        <v>0.1258201243</v>
      </c>
      <c r="G40" s="26">
        <f>IFERROR(__xludf.DUMMYFUNCTION("""COMPUTED_VALUE"""),650.2)</f>
        <v>650.2</v>
      </c>
      <c r="H40" s="28">
        <f>IFERROR(__xludf.DUMMYFUNCTION("""COMPUTED_VALUE"""),0.15779760073823423)</f>
        <v>0.1577976007</v>
      </c>
      <c r="I40" s="26">
        <f>IFERROR(__xludf.DUMMYFUNCTION("""COMPUTED_VALUE"""),754.25)</f>
        <v>754.25</v>
      </c>
      <c r="J40" s="28">
        <f>IFERROR(__xludf.DUMMYFUNCTION("""COMPUTED_VALUE"""),-0.0019224395094465303)</f>
        <v>-0.001922439509</v>
      </c>
      <c r="K40" s="26" t="s">
        <v>235</v>
      </c>
      <c r="L40" s="26" t="s">
        <v>284</v>
      </c>
      <c r="M40" s="29" t="str">
        <f t="array" ref="M40">IF(F40&gt;30%,"YES","NO")</f>
        <v>NO</v>
      </c>
      <c r="N40" s="29" t="str">
        <f t="array" ref="N40">IF(H40&lt;30%,"YES","NO")</f>
        <v>YES</v>
      </c>
      <c r="O40" s="29" t="str">
        <f t="array" ref="O40"> if(AND(D40&lt;65,M40="NO",N40="NO"),"GOOD STOCK","")</f>
        <v/>
      </c>
      <c r="P40" s="29" t="str">
        <f t="array" ref="P40"> ifs((B40/$B$2)*100&gt;=60,"Large cap stocks",and((B40/$B$2)*100&lt;60,(B40/$B$2)*100&gt;40),"Medium cap stocks",(B40/$B$2)*100&lt;40,"Small cap stocks")</f>
        <v>Small cap stocks</v>
      </c>
    </row>
    <row r="41">
      <c r="A41" s="26" t="str">
        <f>IFERROR(__xludf.DUMMYFUNCTION("""COMPUTED_VALUE"""),"ICICI Pru life insurance")</f>
        <v>ICICI Pru life insurance</v>
      </c>
      <c r="B41" s="27">
        <f>IFERROR(__xludf.DUMMYFUNCTION("""COMPUTED_VALUE"""),67468.3198772)</f>
        <v>67468.31988</v>
      </c>
      <c r="C41" s="26">
        <f>IFERROR(__xludf.DUMMYFUNCTION("""COMPUTED_VALUE"""),468.9)</f>
        <v>468.9</v>
      </c>
      <c r="D41" s="26">
        <f>IFERROR(__xludf.DUMMYFUNCTION("""COMPUTED_VALUE"""),78.92)</f>
        <v>78.92</v>
      </c>
      <c r="E41" s="26">
        <f>IFERROR(__xludf.DUMMYFUNCTION("""COMPUTED_VALUE"""),648.85)</f>
        <v>648.85</v>
      </c>
      <c r="F41" s="28">
        <f>IFERROR(__xludf.DUMMYFUNCTION("""COMPUTED_VALUE"""),0.27733682669338067)</f>
        <v>0.2773368267</v>
      </c>
      <c r="G41" s="26">
        <f>IFERROR(__xludf.DUMMYFUNCTION("""COMPUTED_VALUE"""),430.0)</f>
        <v>430</v>
      </c>
      <c r="H41" s="28">
        <f>IFERROR(__xludf.DUMMYFUNCTION("""COMPUTED_VALUE"""),0.09046511627906971)</f>
        <v>0.09046511628</v>
      </c>
      <c r="I41" s="26">
        <f>IFERROR(__xludf.DUMMYFUNCTION("""COMPUTED_VALUE"""),464.7)</f>
        <v>464.7</v>
      </c>
      <c r="J41" s="28">
        <f>IFERROR(__xludf.DUMMYFUNCTION("""COMPUTED_VALUE"""),0.00903808908973529)</f>
        <v>0.00903808909</v>
      </c>
      <c r="K41" s="26" t="s">
        <v>240</v>
      </c>
      <c r="L41" s="26" t="s">
        <v>285</v>
      </c>
      <c r="M41" s="29" t="str">
        <f t="array" ref="M41">IF(F41&gt;30%,"YES","NO")</f>
        <v>NO</v>
      </c>
      <c r="N41" s="29" t="str">
        <f t="array" ref="N41">IF(H41&lt;30%,"YES","NO")</f>
        <v>YES</v>
      </c>
      <c r="O41" s="29" t="str">
        <f t="array" ref="O41"> if(AND(D41&lt;65,M41="NO",N41="NO"),"GOOD STOCK","")</f>
        <v/>
      </c>
      <c r="P41" s="29" t="str">
        <f t="array" ref="P41"> ifs((B41/$B$2)*100&gt;=60,"Large cap stocks",and((B41/$B$2)*100&lt;60,(B41/$B$2)*100&gt;40),"Medium cap stocks",(B41/$B$2)*100&lt;40,"Small cap stocks")</f>
        <v>Small cap stocks</v>
      </c>
    </row>
    <row r="42">
      <c r="A42" s="26" t="str">
        <f>IFERROR(__xludf.DUMMYFUNCTION("""COMPUTED_VALUE"""),"Tata Power")</f>
        <v>Tata Power</v>
      </c>
      <c r="B42" s="27">
        <f>IFERROR(__xludf.DUMMYFUNCTION("""COMPUTED_VALUE"""),66015.7769553)</f>
        <v>66015.77696</v>
      </c>
      <c r="C42" s="26">
        <f>IFERROR(__xludf.DUMMYFUNCTION("""COMPUTED_VALUE"""),206.55)</f>
        <v>206.55</v>
      </c>
      <c r="D42" s="26">
        <f>IFERROR(__xludf.DUMMYFUNCTION("""COMPUTED_VALUE"""),25.89)</f>
        <v>25.89</v>
      </c>
      <c r="E42" s="26">
        <f>IFERROR(__xludf.DUMMYFUNCTION("""COMPUTED_VALUE"""),298.0)</f>
        <v>298</v>
      </c>
      <c r="F42" s="28">
        <f>IFERROR(__xludf.DUMMYFUNCTION("""COMPUTED_VALUE"""),0.30687919463087243)</f>
        <v>0.3068791946</v>
      </c>
      <c r="G42" s="26">
        <f>IFERROR(__xludf.DUMMYFUNCTION("""COMPUTED_VALUE"""),190.0)</f>
        <v>190</v>
      </c>
      <c r="H42" s="28">
        <f>IFERROR(__xludf.DUMMYFUNCTION("""COMPUTED_VALUE"""),0.0871052631578948)</f>
        <v>0.08710526316</v>
      </c>
      <c r="I42" s="26">
        <f>IFERROR(__xludf.DUMMYFUNCTION("""COMPUTED_VALUE"""),205.65)</f>
        <v>205.65</v>
      </c>
      <c r="J42" s="28">
        <f>IFERROR(__xludf.DUMMYFUNCTION("""COMPUTED_VALUE"""),0.0043763676148796775)</f>
        <v>0.004376367615</v>
      </c>
      <c r="K42" s="26" t="s">
        <v>247</v>
      </c>
      <c r="L42" s="26" t="s">
        <v>286</v>
      </c>
      <c r="M42" s="29" t="str">
        <f t="array" ref="M42">IF(F42&gt;30%,"YES","NO")</f>
        <v>YES</v>
      </c>
      <c r="N42" s="29" t="str">
        <f t="array" ref="N42">IF(H42&lt;30%,"YES","NO")</f>
        <v>YES</v>
      </c>
      <c r="O42" s="29" t="str">
        <f t="array" ref="O42"> if(AND(D42&lt;65,M42="NO",N42="NO"),"GOOD STOCK","")</f>
        <v/>
      </c>
      <c r="P42" s="29" t="str">
        <f t="array" ref="P42"> ifs((B42/$B$2)*100&gt;=60,"Large cap stocks",and((B42/$B$2)*100&lt;60,(B42/$B$2)*100&gt;40),"Medium cap stocks",(B42/$B$2)*100&lt;40,"Small cap stocks")</f>
        <v>Small cap stocks</v>
      </c>
    </row>
    <row r="43">
      <c r="A43" s="26" t="str">
        <f>IFERROR(__xludf.DUMMYFUNCTION("""COMPUTED_VALUE"""),"Marico")</f>
        <v>Marico</v>
      </c>
      <c r="B43" s="27">
        <f>IFERROR(__xludf.DUMMYFUNCTION("""COMPUTED_VALUE"""),64133.35)</f>
        <v>64133.35</v>
      </c>
      <c r="C43" s="26">
        <f>IFERROR(__xludf.DUMMYFUNCTION("""COMPUTED_VALUE"""),497.5)</f>
        <v>497.5</v>
      </c>
      <c r="D43" s="26">
        <f>IFERROR(__xludf.DUMMYFUNCTION("""COMPUTED_VALUE"""),52.21)</f>
        <v>52.21</v>
      </c>
      <c r="E43" s="26">
        <f>IFERROR(__xludf.DUMMYFUNCTION("""COMPUTED_VALUE"""),554.35)</f>
        <v>554.35</v>
      </c>
      <c r="F43" s="28">
        <f>IFERROR(__xludf.DUMMYFUNCTION("""COMPUTED_VALUE"""),0.10255253900965097)</f>
        <v>0.102552539</v>
      </c>
      <c r="G43" s="26">
        <f>IFERROR(__xludf.DUMMYFUNCTION("""COMPUTED_VALUE"""),455.65)</f>
        <v>455.65</v>
      </c>
      <c r="H43" s="28">
        <f>IFERROR(__xludf.DUMMYFUNCTION("""COMPUTED_VALUE"""),0.0918468122462417)</f>
        <v>0.09184681225</v>
      </c>
      <c r="I43" s="26">
        <f>IFERROR(__xludf.DUMMYFUNCTION("""COMPUTED_VALUE"""),501.6)</f>
        <v>501.6</v>
      </c>
      <c r="J43" s="28">
        <f>IFERROR(__xludf.DUMMYFUNCTION("""COMPUTED_VALUE"""),-0.008173843700159535)</f>
        <v>-0.0081738437</v>
      </c>
      <c r="K43" s="26" t="s">
        <v>235</v>
      </c>
      <c r="L43" s="26" t="s">
        <v>287</v>
      </c>
      <c r="M43" s="29" t="str">
        <f t="array" ref="M43">IF(F43&gt;30%,"YES","NO")</f>
        <v>NO</v>
      </c>
      <c r="N43" s="29" t="str">
        <f t="array" ref="N43">IF(H43&lt;30%,"YES","NO")</f>
        <v>YES</v>
      </c>
      <c r="O43" s="29" t="str">
        <f t="array" ref="O43"> if(AND(D43&lt;65,M43="NO",N43="NO"),"GOOD STOCK","")</f>
        <v/>
      </c>
      <c r="P43" s="29" t="str">
        <f t="array" ref="P43"> ifs((B43/$B$2)*100&gt;=60,"Large cap stocks",and((B43/$B$2)*100&lt;60,(B43/$B$2)*100&gt;40),"Medium cap stocks",(B43/$B$2)*100&lt;40,"Small cap stocks")</f>
        <v>Small cap stocks</v>
      </c>
    </row>
    <row r="44">
      <c r="A44" s="26" t="str">
        <f>IFERROR(__xludf.DUMMYFUNCTION("""COMPUTED_VALUE"""),"United Spirits")</f>
        <v>United Spirits</v>
      </c>
      <c r="B44" s="27">
        <f>IFERROR(__xludf.DUMMYFUNCTION("""COMPUTED_VALUE"""),61484.38668)</f>
        <v>61484.38668</v>
      </c>
      <c r="C44" s="26">
        <f>IFERROR(__xludf.DUMMYFUNCTION("""COMPUTED_VALUE"""),846.75)</f>
        <v>846.75</v>
      </c>
      <c r="D44" s="26">
        <f>IFERROR(__xludf.DUMMYFUNCTION("""COMPUTED_VALUE"""),46.19)</f>
        <v>46.19</v>
      </c>
      <c r="E44" s="26">
        <f>IFERROR(__xludf.DUMMYFUNCTION("""COMPUTED_VALUE"""),958.0)</f>
        <v>958</v>
      </c>
      <c r="F44" s="28">
        <f>IFERROR(__xludf.DUMMYFUNCTION("""COMPUTED_VALUE"""),0.11612734864300626)</f>
        <v>0.1161273486</v>
      </c>
      <c r="G44" s="26">
        <f>IFERROR(__xludf.DUMMYFUNCTION("""COMPUTED_VALUE"""),712.0)</f>
        <v>712</v>
      </c>
      <c r="H44" s="28">
        <f>IFERROR(__xludf.DUMMYFUNCTION("""COMPUTED_VALUE"""),0.1892556179775281)</f>
        <v>0.189255618</v>
      </c>
      <c r="I44" s="26">
        <f>IFERROR(__xludf.DUMMYFUNCTION("""COMPUTED_VALUE"""),857.75)</f>
        <v>857.75</v>
      </c>
      <c r="J44" s="28">
        <f>IFERROR(__xludf.DUMMYFUNCTION("""COMPUTED_VALUE"""),-0.012824249489944622)</f>
        <v>-0.01282424949</v>
      </c>
      <c r="K44" s="26" t="s">
        <v>288</v>
      </c>
      <c r="L44" s="26" t="s">
        <v>289</v>
      </c>
      <c r="M44" s="29" t="str">
        <f t="array" ref="M44">IF(F44&gt;30%,"YES","NO")</f>
        <v>NO</v>
      </c>
      <c r="N44" s="29" t="str">
        <f t="array" ref="N44">IF(H44&lt;30%,"YES","NO")</f>
        <v>YES</v>
      </c>
      <c r="O44" s="29" t="str">
        <f t="array" ref="O44"> if(AND(D44&lt;65,M44="NO",N44="NO"),"GOOD STOCK","")</f>
        <v/>
      </c>
      <c r="P44" s="29" t="str">
        <f t="array" ref="P44"> ifs((B44/$B$2)*100&gt;=60,"Large cap stocks",and((B44/$B$2)*100&lt;60,(B44/$B$2)*100&gt;40),"Medium cap stocks",(B44/$B$2)*100&lt;40,"Small cap stocks")</f>
        <v>Small cap stocks</v>
      </c>
    </row>
    <row r="45">
      <c r="A45" s="26" t="str">
        <f>IFERROR(__xludf.DUMMYFUNCTION("""COMPUTED_VALUE"""),"Yesbank")</f>
        <v>Yesbank</v>
      </c>
      <c r="B45" s="27">
        <f>IFERROR(__xludf.DUMMYFUNCTION("""COMPUTED_VALUE"""),57937.9387031)</f>
        <v>57937.9387</v>
      </c>
      <c r="C45" s="26">
        <f>IFERROR(__xludf.DUMMYFUNCTION("""COMPUTED_VALUE"""),20.15)</f>
        <v>20.15</v>
      </c>
      <c r="D45" s="26">
        <f>IFERROR(__xludf.DUMMYFUNCTION("""COMPUTED_VALUE"""),45.52)</f>
        <v>45.52</v>
      </c>
      <c r="E45" s="26">
        <f>IFERROR(__xludf.DUMMYFUNCTION("""COMPUTED_VALUE"""),24.75)</f>
        <v>24.75</v>
      </c>
      <c r="F45" s="28">
        <f>IFERROR(__xludf.DUMMYFUNCTION("""COMPUTED_VALUE"""),0.18585858585858592)</f>
        <v>0.1858585859</v>
      </c>
      <c r="G45" s="26">
        <f>IFERROR(__xludf.DUMMYFUNCTION("""COMPUTED_VALUE"""),12.11)</f>
        <v>12.11</v>
      </c>
      <c r="H45" s="28">
        <f>IFERROR(__xludf.DUMMYFUNCTION("""COMPUTED_VALUE"""),0.6639141205615193)</f>
        <v>0.6639141206</v>
      </c>
      <c r="I45" s="26">
        <f>IFERROR(__xludf.DUMMYFUNCTION("""COMPUTED_VALUE"""),19.9)</f>
        <v>19.9</v>
      </c>
      <c r="J45" s="28">
        <f>IFERROR(__xludf.DUMMYFUNCTION("""COMPUTED_VALUE"""),0.01256281407035176)</f>
        <v>0.01256281407</v>
      </c>
      <c r="K45" s="26" t="e">
        <v>#N/A</v>
      </c>
      <c r="L45" s="26" t="e">
        <v>#N/A</v>
      </c>
      <c r="M45" s="29" t="str">
        <f t="array" ref="M45">IF(F45&gt;30%,"YES","NO")</f>
        <v>NO</v>
      </c>
      <c r="N45" s="29" t="str">
        <f t="array" ref="N45">IF(H45&lt;30%,"YES","NO")</f>
        <v>NO</v>
      </c>
      <c r="O45" s="29" t="str">
        <f t="array" ref="O45"> if(AND(D45&lt;65,M45="NO",N45="NO"),"GOOD STOCK","")</f>
        <v>GOOD STOCK</v>
      </c>
      <c r="P45" s="29" t="str">
        <f t="array" ref="P45"> ifs((B45/$B$2)*100&gt;=60,"Large cap stocks",and((B45/$B$2)*100&lt;60,(B45/$B$2)*100&gt;40),"Medium cap stocks",(B45/$B$2)*100&lt;40,"Small cap stocks")</f>
        <v>Small cap stocks</v>
      </c>
    </row>
    <row r="46">
      <c r="A46" s="26" t="str">
        <f>IFERROR(__xludf.DUMMYFUNCTION("""COMPUTED_VALUE"""),"Berger Paint")</f>
        <v>Berger Paint</v>
      </c>
      <c r="B46" s="27">
        <f>IFERROR(__xludf.DUMMYFUNCTION("""COMPUTED_VALUE"""),54643.2617004)</f>
        <v>54643.2617</v>
      </c>
      <c r="C46" s="26">
        <f>IFERROR(__xludf.DUMMYFUNCTION("""COMPUTED_VALUE"""),564.0)</f>
        <v>564</v>
      </c>
      <c r="D46" s="26">
        <f>IFERROR(__xludf.DUMMYFUNCTION("""COMPUTED_VALUE"""),57.95)</f>
        <v>57.95</v>
      </c>
      <c r="E46" s="26">
        <f>IFERROR(__xludf.DUMMYFUNCTION("""COMPUTED_VALUE"""),793.05)</f>
        <v>793.05</v>
      </c>
      <c r="F46" s="28">
        <f>IFERROR(__xludf.DUMMYFUNCTION("""COMPUTED_VALUE"""),0.2888216379799508)</f>
        <v>0.288821638</v>
      </c>
      <c r="G46" s="26">
        <f>IFERROR(__xludf.DUMMYFUNCTION("""COMPUTED_VALUE"""),543.6)</f>
        <v>543.6</v>
      </c>
      <c r="H46" s="28">
        <f>IFERROR(__xludf.DUMMYFUNCTION("""COMPUTED_VALUE"""),0.0375275938189845)</f>
        <v>0.03752759382</v>
      </c>
      <c r="I46" s="26">
        <f>IFERROR(__xludf.DUMMYFUNCTION("""COMPUTED_VALUE"""),561.95)</f>
        <v>561.95</v>
      </c>
      <c r="J46" s="28">
        <f>IFERROR(__xludf.DUMMYFUNCTION("""COMPUTED_VALUE"""),0.0036480113889135234)</f>
        <v>0.003648011389</v>
      </c>
      <c r="K46" s="26" t="s">
        <v>250</v>
      </c>
      <c r="L46" s="26" t="s">
        <v>290</v>
      </c>
      <c r="M46" s="29" t="str">
        <f t="array" ref="M46">IF(F46&gt;30%,"YES","NO")</f>
        <v>NO</v>
      </c>
      <c r="N46" s="29" t="str">
        <f t="array" ref="N46">IF(H46&lt;30%,"YES","NO")</f>
        <v>YES</v>
      </c>
      <c r="O46" s="29" t="str">
        <f t="array" ref="O46"> if(AND(D46&lt;65,M46="NO",N46="NO"),"GOOD STOCK","")</f>
        <v/>
      </c>
      <c r="P46" s="29" t="str">
        <f t="array" ref="P46"> ifs((B46/$B$2)*100&gt;=60,"Large cap stocks",and((B46/$B$2)*100&lt;60,(B46/$B$2)*100&gt;40),"Medium cap stocks",(B46/$B$2)*100&lt;40,"Small cap stocks")</f>
        <v>Small cap stocks</v>
      </c>
    </row>
    <row r="47">
      <c r="A47" s="26" t="str">
        <f>IFERROR(__xludf.DUMMYFUNCTION("""COMPUTED_VALUE"""),"Hero Motocorp")</f>
        <v>Hero Motocorp</v>
      </c>
      <c r="B47" s="27">
        <f>IFERROR(__xludf.DUMMYFUNCTION("""COMPUTED_VALUE"""),54522.74)</f>
        <v>54522.74</v>
      </c>
      <c r="C47" s="26">
        <f>IFERROR(__xludf.DUMMYFUNCTION("""COMPUTED_VALUE"""),2732.0)</f>
        <v>2732</v>
      </c>
      <c r="D47" s="26">
        <f>IFERROR(__xludf.DUMMYFUNCTION("""COMPUTED_VALUE"""),21.06)</f>
        <v>21.06</v>
      </c>
      <c r="E47" s="26">
        <f>IFERROR(__xludf.DUMMYFUNCTION("""COMPUTED_VALUE"""),2938.6)</f>
        <v>2938.6</v>
      </c>
      <c r="F47" s="28">
        <f>IFERROR(__xludf.DUMMYFUNCTION("""COMPUTED_VALUE"""),0.07030558769482063)</f>
        <v>0.07030558769</v>
      </c>
      <c r="G47" s="26">
        <f>IFERROR(__xludf.DUMMYFUNCTION("""COMPUTED_VALUE"""),2146.85)</f>
        <v>2146.85</v>
      </c>
      <c r="H47" s="28">
        <f>IFERROR(__xludf.DUMMYFUNCTION("""COMPUTED_VALUE"""),0.27256212590539636)</f>
        <v>0.2725621259</v>
      </c>
      <c r="I47" s="26">
        <f>IFERROR(__xludf.DUMMYFUNCTION("""COMPUTED_VALUE"""),2694.25)</f>
        <v>2694.25</v>
      </c>
      <c r="J47" s="28">
        <f>IFERROR(__xludf.DUMMYFUNCTION("""COMPUTED_VALUE"""),0.014011320404565278)</f>
        <v>0.0140113204</v>
      </c>
      <c r="K47" s="26" t="s">
        <v>252</v>
      </c>
      <c r="L47" s="26" t="s">
        <v>291</v>
      </c>
      <c r="M47" s="29" t="str">
        <f t="array" ref="M47">IF(F47&gt;30%,"YES","NO")</f>
        <v>NO</v>
      </c>
      <c r="N47" s="29" t="str">
        <f t="array" ref="N47">IF(H47&lt;30%,"YES","NO")</f>
        <v>YES</v>
      </c>
      <c r="O47" s="29" t="str">
        <f t="array" ref="O47"> if(AND(D47&lt;65,M47="NO",N47="NO"),"GOOD STOCK","")</f>
        <v/>
      </c>
      <c r="P47" s="29" t="str">
        <f t="array" ref="P47"> ifs((B47/$B$2)*100&gt;=60,"Large cap stocks",and((B47/$B$2)*100&lt;60,(B47/$B$2)*100&gt;40),"Medium cap stocks",(B47/$B$2)*100&lt;40,"Small cap stocks")</f>
        <v>Small cap stocks</v>
      </c>
    </row>
    <row r="48">
      <c r="A48" s="26" t="str">
        <f>IFERROR(__xludf.DUMMYFUNCTION("""COMPUTED_VALUE"""),"UPL")</f>
        <v>UPL</v>
      </c>
      <c r="B48" s="27">
        <f>IFERROR(__xludf.DUMMYFUNCTION("""COMPUTED_VALUE"""),53833.6605806)</f>
        <v>53833.66058</v>
      </c>
      <c r="C48" s="26">
        <f>IFERROR(__xludf.DUMMYFUNCTION("""COMPUTED_VALUE"""),718.45)</f>
        <v>718.45</v>
      </c>
      <c r="D48" s="26">
        <f>IFERROR(__xludf.DUMMYFUNCTION("""COMPUTED_VALUE"""),13.58)</f>
        <v>13.58</v>
      </c>
      <c r="E48" s="26">
        <f>IFERROR(__xludf.DUMMYFUNCTION("""COMPUTED_VALUE"""),848.0)</f>
        <v>848</v>
      </c>
      <c r="F48" s="28">
        <f>IFERROR(__xludf.DUMMYFUNCTION("""COMPUTED_VALUE"""),0.15277122641509427)</f>
        <v>0.1527712264</v>
      </c>
      <c r="G48" s="26">
        <f>IFERROR(__xludf.DUMMYFUNCTION("""COMPUTED_VALUE"""),607.8)</f>
        <v>607.8</v>
      </c>
      <c r="H48" s="28">
        <f>IFERROR(__xludf.DUMMYFUNCTION("""COMPUTED_VALUE"""),0.18205001645278068)</f>
        <v>0.1820500165</v>
      </c>
      <c r="I48" s="26">
        <f>IFERROR(__xludf.DUMMYFUNCTION("""COMPUTED_VALUE"""),719.05)</f>
        <v>719.05</v>
      </c>
      <c r="J48" s="28">
        <f>IFERROR(__xludf.DUMMYFUNCTION("""COMPUTED_VALUE"""),-8.344343230650289E-4)</f>
        <v>-0.0008344343231</v>
      </c>
      <c r="K48" s="26" t="s">
        <v>292</v>
      </c>
      <c r="L48" s="26" t="s">
        <v>293</v>
      </c>
      <c r="M48" s="29" t="str">
        <f t="array" ref="M48">IF(F48&gt;30%,"YES","NO")</f>
        <v>NO</v>
      </c>
      <c r="N48" s="29" t="str">
        <f t="array" ref="N48">IF(H48&lt;30%,"YES","NO")</f>
        <v>YES</v>
      </c>
      <c r="O48" s="29" t="str">
        <f t="array" ref="O48"> if(AND(D48&lt;65,M48="NO",N48="NO"),"GOOD STOCK","")</f>
        <v/>
      </c>
      <c r="P48" s="29" t="str">
        <f t="array" ref="P48"> ifs((B48/$B$2)*100&gt;=60,"Large cap stocks",and((B48/$B$2)*100&lt;60,(B48/$B$2)*100&gt;40),"Medium cap stocks",(B48/$B$2)*100&lt;40,"Small cap stocks")</f>
        <v>Small cap stocks</v>
      </c>
    </row>
    <row r="49">
      <c r="A49" s="26" t="str">
        <f>IFERROR(__xludf.DUMMYFUNCTION("""COMPUTED_VALUE"""),"Motherson Sumi")</f>
        <v>Motherson Sumi</v>
      </c>
      <c r="B49" s="27">
        <f>IFERROR(__xludf.DUMMYFUNCTION("""COMPUTED_VALUE"""),52280.0813339)</f>
        <v>52280.08133</v>
      </c>
      <c r="C49" s="26">
        <f>IFERROR(__xludf.DUMMYFUNCTION("""COMPUTED_VALUE"""),77.15)</f>
        <v>77.15</v>
      </c>
      <c r="D49" s="26">
        <f>IFERROR(__xludf.DUMMYFUNCTION("""COMPUTED_VALUE"""),67.22)</f>
        <v>67.22</v>
      </c>
      <c r="E49" s="26">
        <f>IFERROR(__xludf.DUMMYFUNCTION("""COMPUTED_VALUE"""),165.03)</f>
        <v>165.03</v>
      </c>
      <c r="F49" s="28">
        <f>IFERROR(__xludf.DUMMYFUNCTION("""COMPUTED_VALUE"""),0.5325092407441071)</f>
        <v>0.5325092407</v>
      </c>
      <c r="G49" s="26">
        <f>IFERROR(__xludf.DUMMYFUNCTION("""COMPUTED_VALUE"""),61.85)</f>
        <v>61.85</v>
      </c>
      <c r="H49" s="28">
        <f>IFERROR(__xludf.DUMMYFUNCTION("""COMPUTED_VALUE"""),0.2473726758286177)</f>
        <v>0.2473726758</v>
      </c>
      <c r="I49" s="26">
        <f>IFERROR(__xludf.DUMMYFUNCTION("""COMPUTED_VALUE"""),78.15)</f>
        <v>78.15</v>
      </c>
      <c r="J49" s="28">
        <f>IFERROR(__xludf.DUMMYFUNCTION("""COMPUTED_VALUE"""),-0.012795905310300703)</f>
        <v>-0.01279590531</v>
      </c>
      <c r="K49" s="26" t="s">
        <v>294</v>
      </c>
      <c r="L49" s="26" t="s">
        <v>295</v>
      </c>
      <c r="M49" s="29" t="str">
        <f t="array" ref="M49">IF(F49&gt;30%,"YES","NO")</f>
        <v>YES</v>
      </c>
      <c r="N49" s="29" t="str">
        <f t="array" ref="N49">IF(H49&lt;30%,"YES","NO")</f>
        <v>YES</v>
      </c>
      <c r="O49" s="29" t="str">
        <f t="array" ref="O49"> if(AND(D49&lt;65,M49="NO",N49="NO"),"GOOD STOCK","")</f>
        <v/>
      </c>
      <c r="P49" s="29" t="str">
        <f t="array" ref="P49"> ifs((B49/$B$2)*100&gt;=60,"Large cap stocks",and((B49/$B$2)*100&lt;60,(B49/$B$2)*100&gt;40),"Medium cap stocks",(B49/$B$2)*100&lt;40,"Small cap stocks")</f>
        <v>Small cap stocks</v>
      </c>
    </row>
    <row r="50">
      <c r="A50" s="26" t="str">
        <f>IFERROR(__xludf.DUMMYFUNCTION("""COMPUTED_VALUE"""),"IRCTC")</f>
        <v>IRCTC</v>
      </c>
      <c r="B50" s="27">
        <f>IFERROR(__xludf.DUMMYFUNCTION("""COMPUTED_VALUE"""),51348.0038553)</f>
        <v>51348.00386</v>
      </c>
      <c r="C50" s="26">
        <f>IFERROR(__xludf.DUMMYFUNCTION("""COMPUTED_VALUE"""),641.0)</f>
        <v>641</v>
      </c>
      <c r="D50" s="26">
        <f>IFERROR(__xludf.DUMMYFUNCTION("""COMPUTED_VALUE"""),57.32)</f>
        <v>57.32</v>
      </c>
      <c r="E50" s="26">
        <f>IFERROR(__xludf.DUMMYFUNCTION("""COMPUTED_VALUE"""),918.65)</f>
        <v>918.65</v>
      </c>
      <c r="F50" s="28">
        <f>IFERROR(__xludf.DUMMYFUNCTION("""COMPUTED_VALUE"""),0.3022369781744952)</f>
        <v>0.3022369782</v>
      </c>
      <c r="G50" s="26">
        <f>IFERROR(__xludf.DUMMYFUNCTION("""COMPUTED_VALUE"""),557.0)</f>
        <v>557</v>
      </c>
      <c r="H50" s="28">
        <f>IFERROR(__xludf.DUMMYFUNCTION("""COMPUTED_VALUE"""),0.15080789946140036)</f>
        <v>0.1508078995</v>
      </c>
      <c r="I50" s="26">
        <f>IFERROR(__xludf.DUMMYFUNCTION("""COMPUTED_VALUE"""),640.65)</f>
        <v>640.65</v>
      </c>
      <c r="J50" s="28">
        <f>IFERROR(__xludf.DUMMYFUNCTION("""COMPUTED_VALUE"""),5.463201436041876E-4)</f>
        <v>0.0005463201436</v>
      </c>
      <c r="K50" s="26" t="s">
        <v>296</v>
      </c>
      <c r="L50" s="26" t="s">
        <v>48</v>
      </c>
      <c r="M50" s="29" t="str">
        <f t="array" ref="M50">IF(F50&gt;30%,"YES","NO")</f>
        <v>YES</v>
      </c>
      <c r="N50" s="29" t="str">
        <f t="array" ref="N50">IF(H50&lt;30%,"YES","NO")</f>
        <v>YES</v>
      </c>
      <c r="O50" s="29" t="str">
        <f t="array" ref="O50"> if(AND(D50&lt;65,M50="NO",N50="NO"),"GOOD STOCK","")</f>
        <v/>
      </c>
      <c r="P50" s="29" t="str">
        <f t="array" ref="P50"> ifs((B50/$B$2)*100&gt;=60,"Large cap stocks",and((B50/$B$2)*100&lt;60,(B50/$B$2)*100&gt;40),"Medium cap stocks",(B50/$B$2)*100&lt;40,"Small cap stocks")</f>
        <v>Small cap stocks</v>
      </c>
    </row>
    <row r="51">
      <c r="A51" s="26" t="str">
        <f>IFERROR(__xludf.DUMMYFUNCTION("""COMPUTED_VALUE"""),"PI industries")</f>
        <v>PI industries</v>
      </c>
      <c r="B51" s="27">
        <f>IFERROR(__xludf.DUMMYFUNCTION("""COMPUTED_VALUE"""),49475.63474)</f>
        <v>49475.63474</v>
      </c>
      <c r="C51" s="26">
        <f>IFERROR(__xludf.DUMMYFUNCTION("""COMPUTED_VALUE"""),3262.0)</f>
        <v>3262</v>
      </c>
      <c r="D51" s="26">
        <f>IFERROR(__xludf.DUMMYFUNCTION("""COMPUTED_VALUE"""),48.33)</f>
        <v>48.33</v>
      </c>
      <c r="E51" s="26">
        <f>IFERROR(__xludf.DUMMYFUNCTION("""COMPUTED_VALUE"""),3698.45)</f>
        <v>3698.45</v>
      </c>
      <c r="F51" s="28">
        <f>IFERROR(__xludf.DUMMYFUNCTION("""COMPUTED_VALUE"""),0.11800889561843471)</f>
        <v>0.1180088956</v>
      </c>
      <c r="G51" s="26">
        <f>IFERROR(__xludf.DUMMYFUNCTION("""COMPUTED_VALUE"""),2333.55)</f>
        <v>2333.55</v>
      </c>
      <c r="H51" s="28">
        <f>IFERROR(__xludf.DUMMYFUNCTION("""COMPUTED_VALUE"""),0.39787019776735005)</f>
        <v>0.3978701978</v>
      </c>
      <c r="I51" s="26">
        <f>IFERROR(__xludf.DUMMYFUNCTION("""COMPUTED_VALUE"""),3292.65)</f>
        <v>3292.65</v>
      </c>
      <c r="J51" s="28">
        <f>IFERROR(__xludf.DUMMYFUNCTION("""COMPUTED_VALUE"""),-0.009308611604634592)</f>
        <v>-0.009308611605</v>
      </c>
      <c r="K51" s="26" t="s">
        <v>292</v>
      </c>
      <c r="L51" s="26" t="s">
        <v>297</v>
      </c>
      <c r="M51" s="29" t="str">
        <f t="array" ref="M51">IF(F51&gt;30%,"YES","NO")</f>
        <v>NO</v>
      </c>
      <c r="N51" s="29" t="str">
        <f t="array" ref="N51">IF(H51&lt;30%,"YES","NO")</f>
        <v>NO</v>
      </c>
      <c r="O51" s="29" t="str">
        <f t="array" ref="O51"> if(AND(D51&lt;65,M51="NO",N51="NO"),"GOOD STOCK","")</f>
        <v>GOOD STOCK</v>
      </c>
      <c r="P51" s="29" t="str">
        <f t="array" ref="P51"> ifs((B51/$B$2)*100&gt;=60,"Large cap stocks",and((B51/$B$2)*100&lt;60,(B51/$B$2)*100&gt;40),"Medium cap stocks",(B51/$B$2)*100&lt;40,"Small cap stocks")</f>
        <v>Small cap stocks</v>
      </c>
    </row>
    <row r="52">
      <c r="A52" s="26" t="str">
        <f>IFERROR(__xludf.DUMMYFUNCTION("""COMPUTED_VALUE"""),"Infoedge")</f>
        <v>Infoedge</v>
      </c>
      <c r="B52" s="27">
        <f>IFERROR(__xludf.DUMMYFUNCTION("""COMPUTED_VALUE"""),48135.11)</f>
        <v>48135.11</v>
      </c>
      <c r="C52" s="26">
        <f>IFERROR(__xludf.DUMMYFUNCTION("""COMPUTED_VALUE"""),3731.8)</f>
        <v>3731.8</v>
      </c>
      <c r="D52" s="26">
        <f>IFERROR(__xludf.DUMMYFUNCTION("""COMPUTED_VALUE"""),8.76)</f>
        <v>8.76</v>
      </c>
      <c r="E52" s="26">
        <f>IFERROR(__xludf.DUMMYFUNCTION("""COMPUTED_VALUE"""),5790.0)</f>
        <v>5790</v>
      </c>
      <c r="F52" s="28">
        <f>IFERROR(__xludf.DUMMYFUNCTION("""COMPUTED_VALUE"""),0.35547495682210706)</f>
        <v>0.3554749568</v>
      </c>
      <c r="G52" s="26">
        <f>IFERROR(__xludf.DUMMYFUNCTION("""COMPUTED_VALUE"""),3314.0)</f>
        <v>3314</v>
      </c>
      <c r="H52" s="28">
        <f>IFERROR(__xludf.DUMMYFUNCTION("""COMPUTED_VALUE"""),0.12607121303560656)</f>
        <v>0.126071213</v>
      </c>
      <c r="I52" s="26">
        <f>IFERROR(__xludf.DUMMYFUNCTION("""COMPUTED_VALUE"""),3719.3)</f>
        <v>3719.3</v>
      </c>
      <c r="J52" s="28">
        <f>IFERROR(__xludf.DUMMYFUNCTION("""COMPUTED_VALUE"""),0.0033608474712983625)</f>
        <v>0.003360847471</v>
      </c>
      <c r="K52" s="26" t="s">
        <v>298</v>
      </c>
      <c r="L52" s="26" t="s">
        <v>299</v>
      </c>
      <c r="M52" s="29" t="str">
        <f t="array" ref="M52">IF(F52&gt;30%,"YES","NO")</f>
        <v>YES</v>
      </c>
      <c r="N52" s="29" t="str">
        <f t="array" ref="N52">IF(H52&lt;30%,"YES","NO")</f>
        <v>YES</v>
      </c>
      <c r="O52" s="29" t="str">
        <f t="array" ref="O52"> if(AND(D52&lt;65,M52="NO",N52="NO"),"GOOD STOCK","")</f>
        <v/>
      </c>
      <c r="P52" s="29" t="str">
        <f t="array" ref="P52"> ifs((B52/$B$2)*100&gt;=60,"Large cap stocks",and((B52/$B$2)*100&lt;60,(B52/$B$2)*100&gt;40),"Medium cap stocks",(B52/$B$2)*100&lt;40,"Small cap stocks")</f>
        <v>Small cap stocks</v>
      </c>
    </row>
    <row r="53">
      <c r="A53" s="26" t="str">
        <f>IFERROR(__xludf.DUMMYFUNCTION("""COMPUTED_VALUE"""),"TVS")</f>
        <v>TVS</v>
      </c>
      <c r="B53" s="27">
        <f>IFERROR(__xludf.DUMMYFUNCTION("""COMPUTED_VALUE"""),47610.86)</f>
        <v>47610.86</v>
      </c>
      <c r="C53" s="26">
        <f>IFERROR(__xludf.DUMMYFUNCTION("""COMPUTED_VALUE"""),999.5)</f>
        <v>999.5</v>
      </c>
      <c r="D53" s="26">
        <f>IFERROR(__xludf.DUMMYFUNCTION("""COMPUTED_VALUE"""),39.03)</f>
        <v>39.03</v>
      </c>
      <c r="E53" s="26">
        <f>IFERROR(__xludf.DUMMYFUNCTION("""COMPUTED_VALUE"""),1177.0)</f>
        <v>1177</v>
      </c>
      <c r="F53" s="28">
        <f>IFERROR(__xludf.DUMMYFUNCTION("""COMPUTED_VALUE"""),0.1508071367884452)</f>
        <v>0.1508071368</v>
      </c>
      <c r="G53" s="26">
        <f>IFERROR(__xludf.DUMMYFUNCTION("""COMPUTED_VALUE"""),513.0)</f>
        <v>513</v>
      </c>
      <c r="H53" s="28">
        <f>IFERROR(__xludf.DUMMYFUNCTION("""COMPUTED_VALUE"""),0.9483430799220273)</f>
        <v>0.9483430799</v>
      </c>
      <c r="I53" s="26">
        <f>IFERROR(__xludf.DUMMYFUNCTION("""COMPUTED_VALUE"""),1005.2)</f>
        <v>1005.2</v>
      </c>
      <c r="J53" s="28">
        <f>IFERROR(__xludf.DUMMYFUNCTION("""COMPUTED_VALUE"""),-0.005670513330680507)</f>
        <v>-0.005670513331</v>
      </c>
      <c r="K53" s="26" t="s">
        <v>252</v>
      </c>
      <c r="L53" s="26" t="s">
        <v>300</v>
      </c>
      <c r="M53" s="29" t="str">
        <f t="array" ref="M53">IF(F53&gt;30%,"YES","NO")</f>
        <v>NO</v>
      </c>
      <c r="N53" s="29" t="str">
        <f t="array" ref="N53">IF(H53&lt;30%,"YES","NO")</f>
        <v>NO</v>
      </c>
      <c r="O53" s="29" t="str">
        <f t="array" ref="O53"> if(AND(D53&lt;65,M53="NO",N53="NO"),"GOOD STOCK","")</f>
        <v>GOOD STOCK</v>
      </c>
      <c r="P53" s="29" t="str">
        <f t="array" ref="P53"> ifs((B53/$B$2)*100&gt;=60,"Large cap stocks",and((B53/$B$2)*100&lt;60,(B53/$B$2)*100&gt;40),"Medium cap stocks",(B53/$B$2)*100&lt;40,"Small cap stocks")</f>
        <v>Small cap stocks</v>
      </c>
    </row>
    <row r="54">
      <c r="A54" s="26" t="str">
        <f>IFERROR(__xludf.DUMMYFUNCTION("""COMPUTED_VALUE"""),"Abbott India")</f>
        <v>Abbott India</v>
      </c>
      <c r="B54" s="27">
        <f>IFERROR(__xludf.DUMMYFUNCTION("""COMPUTED_VALUE"""),47348.12)</f>
        <v>47348.12</v>
      </c>
      <c r="C54" s="26">
        <f>IFERROR(__xludf.DUMMYFUNCTION("""COMPUTED_VALUE"""),22241.0)</f>
        <v>22241</v>
      </c>
      <c r="D54" s="26">
        <f>IFERROR(__xludf.DUMMYFUNCTION("""COMPUTED_VALUE"""),53.6)</f>
        <v>53.6</v>
      </c>
      <c r="E54" s="26">
        <f>IFERROR(__xludf.DUMMYFUNCTION("""COMPUTED_VALUE"""),22499.0)</f>
        <v>22499</v>
      </c>
      <c r="F54" s="28">
        <f>IFERROR(__xludf.DUMMYFUNCTION("""COMPUTED_VALUE"""),0.011467176318947508)</f>
        <v>0.01146717632</v>
      </c>
      <c r="G54" s="26">
        <f>IFERROR(__xludf.DUMMYFUNCTION("""COMPUTED_VALUE"""),15514.0)</f>
        <v>15514</v>
      </c>
      <c r="H54" s="28">
        <f>IFERROR(__xludf.DUMMYFUNCTION("""COMPUTED_VALUE"""),0.4336083537450045)</f>
        <v>0.4336083537</v>
      </c>
      <c r="I54" s="26">
        <f>IFERROR(__xludf.DUMMYFUNCTION("""COMPUTED_VALUE"""),22162.55)</f>
        <v>22162.55</v>
      </c>
      <c r="J54" s="28">
        <f>IFERROR(__xludf.DUMMYFUNCTION("""COMPUTED_VALUE"""),0.0035397551274560343)</f>
        <v>0.003539755127</v>
      </c>
      <c r="K54" s="26" t="s">
        <v>254</v>
      </c>
      <c r="L54" s="26" t="s">
        <v>301</v>
      </c>
      <c r="M54" s="29" t="str">
        <f t="array" ref="M54">IF(F54&gt;30%,"YES","NO")</f>
        <v>NO</v>
      </c>
      <c r="N54" s="29" t="str">
        <f t="array" ref="N54">IF(H54&lt;30%,"YES","NO")</f>
        <v>NO</v>
      </c>
      <c r="O54" s="29" t="str">
        <f t="array" ref="O54"> if(AND(D54&lt;65,M54="NO",N54="NO"),"GOOD STOCK","")</f>
        <v>GOOD STOCK</v>
      </c>
      <c r="P54" s="29" t="str">
        <f t="array" ref="P54"> ifs((B54/$B$2)*100&gt;=60,"Large cap stocks",and((B54/$B$2)*100&lt;60,(B54/$B$2)*100&gt;40),"Medium cap stocks",(B54/$B$2)*100&lt;40,"Small cap stocks")</f>
        <v>Small cap stocks</v>
      </c>
    </row>
    <row r="55">
      <c r="A55" s="26" t="str">
        <f>IFERROR(__xludf.DUMMYFUNCTION("""COMPUTED_VALUE"""),"HDFC AMC")</f>
        <v>HDFC AMC</v>
      </c>
      <c r="B55" s="27">
        <f>IFERROR(__xludf.DUMMYFUNCTION("""COMPUTED_VALUE"""),45934.43)</f>
        <v>45934.43</v>
      </c>
      <c r="C55" s="26">
        <f>IFERROR(__xludf.DUMMYFUNCTION("""COMPUTED_VALUE"""),2148.0)</f>
        <v>2148</v>
      </c>
      <c r="D55" s="26">
        <f>IFERROR(__xludf.DUMMYFUNCTION("""COMPUTED_VALUE"""),33.2)</f>
        <v>33.2</v>
      </c>
      <c r="E55" s="26">
        <f>IFERROR(__xludf.DUMMYFUNCTION("""COMPUTED_VALUE"""),2507.35)</f>
        <v>2507.35</v>
      </c>
      <c r="F55" s="28">
        <f>IFERROR(__xludf.DUMMYFUNCTION("""COMPUTED_VALUE"""),0.14331864318902424)</f>
        <v>0.1433186432</v>
      </c>
      <c r="G55" s="26">
        <f>IFERROR(__xludf.DUMMYFUNCTION("""COMPUTED_VALUE"""),1690.0)</f>
        <v>1690</v>
      </c>
      <c r="H55" s="28">
        <f>IFERROR(__xludf.DUMMYFUNCTION("""COMPUTED_VALUE"""),0.2710059171597633)</f>
        <v>0.2710059172</v>
      </c>
      <c r="I55" s="26">
        <f>IFERROR(__xludf.DUMMYFUNCTION("""COMPUTED_VALUE"""),2150.75)</f>
        <v>2150.75</v>
      </c>
      <c r="J55" s="28">
        <f>IFERROR(__xludf.DUMMYFUNCTION("""COMPUTED_VALUE"""),-0.0012786237359060793)</f>
        <v>-0.001278623736</v>
      </c>
      <c r="K55" s="26" t="s">
        <v>302</v>
      </c>
      <c r="L55" s="26" t="s">
        <v>303</v>
      </c>
      <c r="M55" s="29" t="str">
        <f t="array" ref="M55">IF(F55&gt;30%,"YES","NO")</f>
        <v>NO</v>
      </c>
      <c r="N55" s="29" t="str">
        <f t="array" ref="N55">IF(H55&lt;30%,"YES","NO")</f>
        <v>YES</v>
      </c>
      <c r="O55" s="29" t="str">
        <f t="array" ref="O55"> if(AND(D55&lt;65,M55="NO",N55="NO"),"GOOD STOCK","")</f>
        <v/>
      </c>
      <c r="P55" s="29" t="str">
        <f t="array" ref="P55"> ifs((B55/$B$2)*100&gt;=60,"Large cap stocks",and((B55/$B$2)*100&lt;60,(B55/$B$2)*100&gt;40),"Medium cap stocks",(B55/$B$2)*100&lt;40,"Small cap stocks")</f>
        <v>Small cap stocks</v>
      </c>
    </row>
    <row r="56">
      <c r="A56" s="26" t="str">
        <f>IFERROR(__xludf.DUMMYFUNCTION("""COMPUTED_VALUE"""),"Page Industries")</f>
        <v>Page Industries</v>
      </c>
      <c r="B56" s="27">
        <f>IFERROR(__xludf.DUMMYFUNCTION("""COMPUTED_VALUE"""),44894.62)</f>
        <v>44894.62</v>
      </c>
      <c r="C56" s="26">
        <f>IFERROR(__xludf.DUMMYFUNCTION("""COMPUTED_VALUE"""),40260.0)</f>
        <v>40260</v>
      </c>
      <c r="D56" s="26">
        <f>IFERROR(__xludf.DUMMYFUNCTION("""COMPUTED_VALUE"""),61.16)</f>
        <v>61.16</v>
      </c>
      <c r="E56" s="26">
        <f>IFERROR(__xludf.DUMMYFUNCTION("""COMPUTED_VALUE"""),54349.1)</f>
        <v>54349.1</v>
      </c>
      <c r="F56" s="28">
        <f>IFERROR(__xludf.DUMMYFUNCTION("""COMPUTED_VALUE"""),0.2592333635699579)</f>
        <v>0.2592333636</v>
      </c>
      <c r="G56" s="26">
        <f>IFERROR(__xludf.DUMMYFUNCTION("""COMPUTED_VALUE"""),37825.0)</f>
        <v>37825</v>
      </c>
      <c r="H56" s="28">
        <f>IFERROR(__xludf.DUMMYFUNCTION("""COMPUTED_VALUE"""),0.06437541308658294)</f>
        <v>0.06437541309</v>
      </c>
      <c r="I56" s="26">
        <f>IFERROR(__xludf.DUMMYFUNCTION("""COMPUTED_VALUE"""),40639.05)</f>
        <v>40639.05</v>
      </c>
      <c r="J56" s="28">
        <f>IFERROR(__xludf.DUMMYFUNCTION("""COMPUTED_VALUE"""),-0.009327235749851507)</f>
        <v>-0.00932723575</v>
      </c>
      <c r="K56" s="26" t="s">
        <v>304</v>
      </c>
      <c r="L56" s="26" t="s">
        <v>305</v>
      </c>
      <c r="M56" s="29" t="str">
        <f t="array" ref="M56">IF(F56&gt;30%,"YES","NO")</f>
        <v>NO</v>
      </c>
      <c r="N56" s="29" t="str">
        <f t="array" ref="N56">IF(H56&lt;30%,"YES","NO")</f>
        <v>YES</v>
      </c>
      <c r="O56" s="29" t="str">
        <f t="array" ref="O56"> if(AND(D56&lt;65,M56="NO",N56="NO"),"GOOD STOCK","")</f>
        <v/>
      </c>
      <c r="P56" s="29" t="str">
        <f t="array" ref="P56"> ifs((B56/$B$2)*100&gt;=60,"Large cap stocks",and((B56/$B$2)*100&lt;60,(B56/$B$2)*100&gt;40),"Medium cap stocks",(B56/$B$2)*100&lt;40,"Small cap stocks")</f>
        <v>Small cap stocks</v>
      </c>
    </row>
    <row r="57">
      <c r="A57" s="26" t="str">
        <f>IFERROR(__xludf.DUMMYFUNCTION("""COMPUTED_VALUE"""),"Balkrishna Industries")</f>
        <v>Balkrishna Industries</v>
      </c>
      <c r="B57" s="27">
        <f>IFERROR(__xludf.DUMMYFUNCTION("""COMPUTED_VALUE"""),43195.8704177)</f>
        <v>43195.87042</v>
      </c>
      <c r="C57" s="26">
        <f>IFERROR(__xludf.DUMMYFUNCTION("""COMPUTED_VALUE"""),2229.0)</f>
        <v>2229</v>
      </c>
      <c r="D57" s="26">
        <f>IFERROR(__xludf.DUMMYFUNCTION("""COMPUTED_VALUE"""),30.72)</f>
        <v>30.72</v>
      </c>
      <c r="E57" s="26">
        <f>IFERROR(__xludf.DUMMYFUNCTION("""COMPUTED_VALUE"""),2537.45)</f>
        <v>2537.45</v>
      </c>
      <c r="F57" s="28">
        <f>IFERROR(__xludf.DUMMYFUNCTION("""COMPUTED_VALUE"""),0.12155904549843341)</f>
        <v>0.1215590455</v>
      </c>
      <c r="G57" s="26">
        <f>IFERROR(__xludf.DUMMYFUNCTION("""COMPUTED_VALUE"""),1690.55)</f>
        <v>1690.55</v>
      </c>
      <c r="H57" s="28">
        <f>IFERROR(__xludf.DUMMYFUNCTION("""COMPUTED_VALUE"""),0.31850581171807996)</f>
        <v>0.3185058117</v>
      </c>
      <c r="I57" s="26">
        <f>IFERROR(__xludf.DUMMYFUNCTION("""COMPUTED_VALUE"""),2214.25)</f>
        <v>2214.25</v>
      </c>
      <c r="J57" s="28">
        <f>IFERROR(__xludf.DUMMYFUNCTION("""COMPUTED_VALUE"""),0.0066613977644800725)</f>
        <v>0.006661397764</v>
      </c>
      <c r="K57" s="26" t="s">
        <v>306</v>
      </c>
      <c r="L57" s="26" t="s">
        <v>307</v>
      </c>
      <c r="M57" s="29" t="str">
        <f t="array" ref="M57">IF(F57&gt;30%,"YES","NO")</f>
        <v>NO</v>
      </c>
      <c r="N57" s="29" t="str">
        <f t="array" ref="N57">IF(H57&lt;30%,"YES","NO")</f>
        <v>NO</v>
      </c>
      <c r="O57" s="29" t="str">
        <f t="array" ref="O57"> if(AND(D57&lt;65,M57="NO",N57="NO"),"GOOD STOCK","")</f>
        <v>GOOD STOCK</v>
      </c>
      <c r="P57" s="29" t="str">
        <f t="array" ref="P57"> ifs((B57/$B$2)*100&gt;=60,"Large cap stocks",and((B57/$B$2)*100&lt;60,(B57/$B$2)*100&gt;40),"Medium cap stocks",(B57/$B$2)*100&lt;40,"Small cap stocks")</f>
        <v>Small cap stocks</v>
      </c>
    </row>
    <row r="58">
      <c r="A58" s="26" t="str">
        <f>IFERROR(__xludf.DUMMYFUNCTION("""COMPUTED_VALUE"""),"United Breweries")</f>
        <v>United Breweries</v>
      </c>
      <c r="B58" s="27">
        <f>IFERROR(__xludf.DUMMYFUNCTION("""COMPUTED_VALUE"""),42833.63)</f>
        <v>42833.63</v>
      </c>
      <c r="C58" s="26">
        <f>IFERROR(__xludf.DUMMYFUNCTION("""COMPUTED_VALUE"""),1625.0)</f>
        <v>1625</v>
      </c>
      <c r="D58" s="26">
        <f>IFERROR(__xludf.DUMMYFUNCTION("""COMPUTED_VALUE"""),78.07)</f>
        <v>78.07</v>
      </c>
      <c r="E58" s="26">
        <f>IFERROR(__xludf.DUMMYFUNCTION("""COMPUTED_VALUE"""),1806.45)</f>
        <v>1806.45</v>
      </c>
      <c r="F58" s="28">
        <f>IFERROR(__xludf.DUMMYFUNCTION("""COMPUTED_VALUE"""),0.10044562539787984)</f>
        <v>0.1004456254</v>
      </c>
      <c r="G58" s="26">
        <f>IFERROR(__xludf.DUMMYFUNCTION("""COMPUTED_VALUE"""),1274.5)</f>
        <v>1274.5</v>
      </c>
      <c r="H58" s="28">
        <f>IFERROR(__xludf.DUMMYFUNCTION("""COMPUTED_VALUE"""),0.2750098077677521)</f>
        <v>0.2750098078</v>
      </c>
      <c r="I58" s="26">
        <f>IFERROR(__xludf.DUMMYFUNCTION("""COMPUTED_VALUE"""),1644.15)</f>
        <v>1644.15</v>
      </c>
      <c r="J58" s="28">
        <f>IFERROR(__xludf.DUMMYFUNCTION("""COMPUTED_VALUE"""),-0.011647355776541125)</f>
        <v>-0.01164735578</v>
      </c>
      <c r="K58" s="26" t="s">
        <v>288</v>
      </c>
      <c r="L58" s="26" t="s">
        <v>308</v>
      </c>
      <c r="M58" s="29" t="str">
        <f t="array" ref="M58">IF(F58&gt;30%,"YES","NO")</f>
        <v>NO</v>
      </c>
      <c r="N58" s="29" t="str">
        <f t="array" ref="N58">IF(H58&lt;30%,"YES","NO")</f>
        <v>YES</v>
      </c>
      <c r="O58" s="29" t="str">
        <f t="array" ref="O58"> if(AND(D58&lt;65,M58="NO",N58="NO"),"GOOD STOCK","")</f>
        <v/>
      </c>
      <c r="P58" s="29" t="str">
        <f t="array" ref="P58"> ifs((B58/$B$2)*100&gt;=60,"Large cap stocks",and((B58/$B$2)*100&lt;60,(B58/$B$2)*100&gt;40),"Medium cap stocks",(B58/$B$2)*100&lt;40,"Small cap stocks")</f>
        <v>Small cap stocks</v>
      </c>
    </row>
    <row r="59">
      <c r="A59" s="26" t="str">
        <f>IFERROR(__xludf.DUMMYFUNCTION("""COMPUTED_VALUE"""),"Muthoot Finance")</f>
        <v>Muthoot Finance</v>
      </c>
      <c r="B59" s="27">
        <f>IFERROR(__xludf.DUMMYFUNCTION("""COMPUTED_VALUE"""),42774.19916)</f>
        <v>42774.19916</v>
      </c>
      <c r="C59" s="26">
        <f>IFERROR(__xludf.DUMMYFUNCTION("""COMPUTED_VALUE"""),1065.5)</f>
        <v>1065.5</v>
      </c>
      <c r="D59" s="26">
        <f>IFERROR(__xludf.DUMMYFUNCTION("""COMPUTED_VALUE"""),11.41)</f>
        <v>11.41</v>
      </c>
      <c r="E59" s="26">
        <f>IFERROR(__xludf.DUMMYFUNCTION("""COMPUTED_VALUE"""),1526.4)</f>
        <v>1526.4</v>
      </c>
      <c r="F59" s="28">
        <f>IFERROR(__xludf.DUMMYFUNCTION("""COMPUTED_VALUE"""),0.3019523060796646)</f>
        <v>0.3019523061</v>
      </c>
      <c r="G59" s="26">
        <f>IFERROR(__xludf.DUMMYFUNCTION("""COMPUTED_VALUE"""),950.2)</f>
        <v>950.2</v>
      </c>
      <c r="H59" s="28">
        <f>IFERROR(__xludf.DUMMYFUNCTION("""COMPUTED_VALUE"""),0.1213428751841717)</f>
        <v>0.1213428752</v>
      </c>
      <c r="I59" s="26">
        <f>IFERROR(__xludf.DUMMYFUNCTION("""COMPUTED_VALUE"""),1063.3)</f>
        <v>1063.3</v>
      </c>
      <c r="J59" s="28">
        <f>IFERROR(__xludf.DUMMYFUNCTION("""COMPUTED_VALUE"""),0.0020690303771278523)</f>
        <v>0.002069030377</v>
      </c>
      <c r="K59" s="26" t="s">
        <v>244</v>
      </c>
      <c r="L59" s="26" t="s">
        <v>309</v>
      </c>
      <c r="M59" s="29" t="str">
        <f t="array" ref="M59">IF(F59&gt;30%,"YES","NO")</f>
        <v>YES</v>
      </c>
      <c r="N59" s="29" t="str">
        <f t="array" ref="N59">IF(H59&lt;30%,"YES","NO")</f>
        <v>YES</v>
      </c>
      <c r="O59" s="29" t="str">
        <f t="array" ref="O59"> if(AND(D59&lt;65,M59="NO",N59="NO"),"GOOD STOCK","")</f>
        <v/>
      </c>
      <c r="P59" s="29" t="str">
        <f t="array" ref="P59"> ifs((B59/$B$2)*100&gt;=60,"Large cap stocks",and((B59/$B$2)*100&lt;60,(B59/$B$2)*100&gt;40),"Medium cap stocks",(B59/$B$2)*100&lt;40,"Small cap stocks")</f>
        <v>Small cap stocks</v>
      </c>
    </row>
    <row r="60">
      <c r="A60" s="26" t="str">
        <f>IFERROR(__xludf.DUMMYFUNCTION("""COMPUTED_VALUE"""),"AU Small Finance")</f>
        <v>AU Small Finance</v>
      </c>
      <c r="B60" s="27">
        <f>IFERROR(__xludf.DUMMYFUNCTION("""COMPUTED_VALUE"""),41307.1280064)</f>
        <v>41307.12801</v>
      </c>
      <c r="C60" s="26">
        <f>IFERROR(__xludf.DUMMYFUNCTION("""COMPUTED_VALUE"""),619.0)</f>
        <v>619</v>
      </c>
      <c r="D60" s="26">
        <f>IFERROR(__xludf.DUMMYFUNCTION("""COMPUTED_VALUE"""),31.44)</f>
        <v>31.44</v>
      </c>
      <c r="E60" s="26">
        <f>IFERROR(__xludf.DUMMYFUNCTION("""COMPUTED_VALUE"""),732.98)</f>
        <v>732.98</v>
      </c>
      <c r="F60" s="28">
        <f>IFERROR(__xludf.DUMMYFUNCTION("""COMPUTED_VALUE"""),0.15550219651286531)</f>
        <v>0.1555021965</v>
      </c>
      <c r="G60" s="26">
        <f>IFERROR(__xludf.DUMMYFUNCTION("""COMPUTED_VALUE"""),525.0)</f>
        <v>525</v>
      </c>
      <c r="H60" s="28">
        <f>IFERROR(__xludf.DUMMYFUNCTION("""COMPUTED_VALUE"""),0.17904761904761904)</f>
        <v>0.179047619</v>
      </c>
      <c r="I60" s="26">
        <f>IFERROR(__xludf.DUMMYFUNCTION("""COMPUTED_VALUE"""),628.15)</f>
        <v>628.15</v>
      </c>
      <c r="J60" s="28">
        <f>IFERROR(__xludf.DUMMYFUNCTION("""COMPUTED_VALUE"""),-0.014566584414550629)</f>
        <v>-0.01456658441</v>
      </c>
      <c r="K60" s="26" t="s">
        <v>310</v>
      </c>
      <c r="L60" s="26" t="s">
        <v>311</v>
      </c>
      <c r="M60" s="29" t="str">
        <f t="array" ref="M60">IF(F60&gt;30%,"YES","NO")</f>
        <v>NO</v>
      </c>
      <c r="N60" s="29" t="str">
        <f t="array" ref="N60">IF(H60&lt;30%,"YES","NO")</f>
        <v>YES</v>
      </c>
      <c r="O60" s="29" t="str">
        <f t="array" ref="O60"> if(AND(D60&lt;65,M60="NO",N60="NO"),"GOOD STOCK","")</f>
        <v/>
      </c>
      <c r="P60" s="29" t="str">
        <f t="array" ref="P60"> ifs((B60/$B$2)*100&gt;=60,"Large cap stocks",and((B60/$B$2)*100&lt;60,(B60/$B$2)*100&gt;40),"Medium cap stocks",(B60/$B$2)*100&lt;40,"Small cap stocks")</f>
        <v>Small cap stocks</v>
      </c>
    </row>
    <row r="61">
      <c r="A61" s="26" t="str">
        <f>IFERROR(__xludf.DUMMYFUNCTION("""COMPUTED_VALUE"""),"Astral Poly Technic")</f>
        <v>Astral Poly Technic</v>
      </c>
      <c r="B61" s="27">
        <f>IFERROR(__xludf.DUMMYFUNCTION("""COMPUTED_VALUE"""),41248.67)</f>
        <v>41248.67</v>
      </c>
      <c r="C61" s="26">
        <f>IFERROR(__xludf.DUMMYFUNCTION("""COMPUTED_VALUE"""),2046.5)</f>
        <v>2046.5</v>
      </c>
      <c r="D61" s="26">
        <f>IFERROR(__xludf.DUMMYFUNCTION("""COMPUTED_VALUE"""),96.08)</f>
        <v>96.08</v>
      </c>
      <c r="E61" s="26">
        <f>IFERROR(__xludf.DUMMYFUNCTION("""COMPUTED_VALUE"""),2654.8)</f>
        <v>2654.8</v>
      </c>
      <c r="F61" s="28">
        <f>IFERROR(__xludf.DUMMYFUNCTION("""COMPUTED_VALUE"""),0.22913213801416307)</f>
        <v>0.229132138</v>
      </c>
      <c r="G61" s="26">
        <f>IFERROR(__xludf.DUMMYFUNCTION("""COMPUTED_VALUE"""),1581.55)</f>
        <v>1581.55</v>
      </c>
      <c r="H61" s="28">
        <f>IFERROR(__xludf.DUMMYFUNCTION("""COMPUTED_VALUE"""),0.2939837501185546)</f>
        <v>0.2939837501</v>
      </c>
      <c r="I61" s="26">
        <f>IFERROR(__xludf.DUMMYFUNCTION("""COMPUTED_VALUE"""),2063.75)</f>
        <v>2063.75</v>
      </c>
      <c r="J61" s="28">
        <f>IFERROR(__xludf.DUMMYFUNCTION("""COMPUTED_VALUE"""),-0.008358570563294972)</f>
        <v>-0.008358570563</v>
      </c>
      <c r="K61" s="26" t="s">
        <v>312</v>
      </c>
      <c r="L61" s="26" t="s">
        <v>313</v>
      </c>
      <c r="M61" s="29" t="str">
        <f t="array" ref="M61">IF(F61&gt;30%,"YES","NO")</f>
        <v>NO</v>
      </c>
      <c r="N61" s="29" t="str">
        <f t="array" ref="N61">IF(H61&lt;30%,"YES","NO")</f>
        <v>YES</v>
      </c>
      <c r="O61" s="29" t="str">
        <f t="array" ref="O61"> if(AND(D61&lt;65,M61="NO",N61="NO"),"GOOD STOCK","")</f>
        <v/>
      </c>
      <c r="P61" s="29" t="str">
        <f t="array" ref="P61"> ifs((B61/$B$2)*100&gt;=60,"Large cap stocks",and((B61/$B$2)*100&lt;60,(B61/$B$2)*100&gt;40),"Medium cap stocks",(B61/$B$2)*100&lt;40,"Small cap stocks")</f>
        <v>Small cap stocks</v>
      </c>
    </row>
    <row r="62">
      <c r="A62" s="26" t="str">
        <f>IFERROR(__xludf.DUMMYFUNCTION("""COMPUTED_VALUE"""),"Polycab")</f>
        <v>Polycab</v>
      </c>
      <c r="B62" s="27">
        <f>IFERROR(__xludf.DUMMYFUNCTION("""COMPUTED_VALUE"""),39945.4022299)</f>
        <v>39945.40223</v>
      </c>
      <c r="C62" s="26">
        <f>IFERROR(__xludf.DUMMYFUNCTION("""COMPUTED_VALUE"""),2662.0)</f>
        <v>2662</v>
      </c>
      <c r="D62" s="26">
        <f>IFERROR(__xludf.DUMMYFUNCTION("""COMPUTED_VALUE"""),35.5)</f>
        <v>35.5</v>
      </c>
      <c r="E62" s="26">
        <f>IFERROR(__xludf.DUMMYFUNCTION("""COMPUTED_VALUE"""),3025.0)</f>
        <v>3025</v>
      </c>
      <c r="F62" s="28">
        <f>IFERROR(__xludf.DUMMYFUNCTION("""COMPUTED_VALUE"""),0.12)</f>
        <v>0.12</v>
      </c>
      <c r="G62" s="26">
        <f>IFERROR(__xludf.DUMMYFUNCTION("""COMPUTED_VALUE"""),2043.85)</f>
        <v>2043.85</v>
      </c>
      <c r="H62" s="28">
        <f>IFERROR(__xludf.DUMMYFUNCTION("""COMPUTED_VALUE"""),0.3024439171172053)</f>
        <v>0.3024439171</v>
      </c>
      <c r="I62" s="26">
        <f>IFERROR(__xludf.DUMMYFUNCTION("""COMPUTED_VALUE"""),2677.05)</f>
        <v>2677.05</v>
      </c>
      <c r="J62" s="28">
        <f>IFERROR(__xludf.DUMMYFUNCTION("""COMPUTED_VALUE"""),-0.005621859883080324)</f>
        <v>-0.005621859883</v>
      </c>
      <c r="K62" s="26" t="s">
        <v>282</v>
      </c>
      <c r="L62" s="26" t="s">
        <v>314</v>
      </c>
      <c r="M62" s="29" t="str">
        <f t="array" ref="M62">IF(F62&gt;30%,"YES","NO")</f>
        <v>NO</v>
      </c>
      <c r="N62" s="29" t="str">
        <f t="array" ref="N62">IF(H62&lt;30%,"YES","NO")</f>
        <v>NO</v>
      </c>
      <c r="O62" s="29" t="str">
        <f t="array" ref="O62"> if(AND(D62&lt;65,M62="NO",N62="NO"),"GOOD STOCK","")</f>
        <v>GOOD STOCK</v>
      </c>
      <c r="P62" s="29" t="str">
        <f t="array" ref="P62"> ifs((B62/$B$2)*100&gt;=60,"Large cap stocks",and((B62/$B$2)*100&lt;60,(B62/$B$2)*100&gt;40),"Medium cap stocks",(B62/$B$2)*100&lt;40,"Small cap stocks")</f>
        <v>Small cap stocks</v>
      </c>
    </row>
    <row r="63">
      <c r="A63" s="26" t="str">
        <f>IFERROR(__xludf.DUMMYFUNCTION("""COMPUTED_VALUE"""),"Solar Industries")</f>
        <v>Solar Industries</v>
      </c>
      <c r="B63" s="27">
        <f>IFERROR(__xludf.DUMMYFUNCTION("""COMPUTED_VALUE"""),38859.14)</f>
        <v>38859.14</v>
      </c>
      <c r="C63" s="26">
        <f>IFERROR(__xludf.DUMMYFUNCTION("""COMPUTED_VALUE"""),4338.0)</f>
        <v>4338</v>
      </c>
      <c r="D63" s="26">
        <f>IFERROR(__xludf.DUMMYFUNCTION("""COMPUTED_VALUE"""),63.66)</f>
        <v>63.66</v>
      </c>
      <c r="E63" s="26">
        <f>IFERROR(__xludf.DUMMYFUNCTION("""COMPUTED_VALUE"""),4535.95)</f>
        <v>4535.95</v>
      </c>
      <c r="F63" s="28">
        <f>IFERROR(__xludf.DUMMYFUNCTION("""COMPUTED_VALUE"""),0.043640251766443594)</f>
        <v>0.04364025177</v>
      </c>
      <c r="G63" s="26">
        <f>IFERROR(__xludf.DUMMYFUNCTION("""COMPUTED_VALUE"""),2160.05)</f>
        <v>2160.05</v>
      </c>
      <c r="H63" s="28">
        <f>IFERROR(__xludf.DUMMYFUNCTION("""COMPUTED_VALUE"""),1.0082868452119162)</f>
        <v>1.008286845</v>
      </c>
      <c r="I63" s="26">
        <f>IFERROR(__xludf.DUMMYFUNCTION("""COMPUTED_VALUE"""),4340.15)</f>
        <v>4340.15</v>
      </c>
      <c r="J63" s="28">
        <f>IFERROR(__xludf.DUMMYFUNCTION("""COMPUTED_VALUE"""),-4.953745838276641E-4)</f>
        <v>-0.0004953745838</v>
      </c>
      <c r="K63" s="26" t="s">
        <v>315</v>
      </c>
      <c r="L63" s="26" t="s">
        <v>316</v>
      </c>
      <c r="M63" s="29" t="str">
        <f t="array" ref="M63">IF(F63&gt;30%,"YES","NO")</f>
        <v>NO</v>
      </c>
      <c r="N63" s="29" t="str">
        <f t="array" ref="N63">IF(H63&lt;30%,"YES","NO")</f>
        <v>NO</v>
      </c>
      <c r="O63" s="29" t="str">
        <f t="array" ref="O63"> if(AND(D63&lt;65,M63="NO",N63="NO"),"GOOD STOCK","")</f>
        <v>GOOD STOCK</v>
      </c>
      <c r="P63" s="29" t="str">
        <f t="array" ref="P63"> ifs((B63/$B$2)*100&gt;=60,"Large cap stocks",and((B63/$B$2)*100&lt;60,(B63/$B$2)*100&gt;40),"Medium cap stocks",(B63/$B$2)*100&lt;40,"Small cap stocks")</f>
        <v>Small cap stocks</v>
      </c>
    </row>
    <row r="64">
      <c r="A64" s="26" t="str">
        <f>IFERROR(__xludf.DUMMYFUNCTION("""COMPUTED_VALUE"""),"Tata Elxsi")</f>
        <v>Tata Elxsi</v>
      </c>
      <c r="B64" s="27">
        <f>IFERROR(__xludf.DUMMYFUNCTION("""COMPUTED_VALUE"""),38754.622389)</f>
        <v>38754.62239</v>
      </c>
      <c r="C64" s="26">
        <f>IFERROR(__xludf.DUMMYFUNCTION("""COMPUTED_VALUE"""),6223.0)</f>
        <v>6223</v>
      </c>
      <c r="D64" s="26">
        <f>IFERROR(__xludf.DUMMYFUNCTION("""COMPUTED_VALUE"""),57.85)</f>
        <v>57.85</v>
      </c>
      <c r="E64" s="26">
        <f>IFERROR(__xludf.DUMMYFUNCTION("""COMPUTED_VALUE"""),10760.0)</f>
        <v>10760</v>
      </c>
      <c r="F64" s="28">
        <f>IFERROR(__xludf.DUMMYFUNCTION("""COMPUTED_VALUE"""),0.4216542750929368)</f>
        <v>0.4216542751</v>
      </c>
      <c r="G64" s="26">
        <f>IFERROR(__xludf.DUMMYFUNCTION("""COMPUTED_VALUE"""),5709.05)</f>
        <v>5709.05</v>
      </c>
      <c r="H64" s="28">
        <f>IFERROR(__xludf.DUMMYFUNCTION("""COMPUTED_VALUE"""),0.09002373424650333)</f>
        <v>0.09002373425</v>
      </c>
      <c r="I64" s="26">
        <f>IFERROR(__xludf.DUMMYFUNCTION("""COMPUTED_VALUE"""),6196.65)</f>
        <v>6196.65</v>
      </c>
      <c r="J64" s="28">
        <f>IFERROR(__xludf.DUMMYFUNCTION("""COMPUTED_VALUE"""),0.004252297612419673)</f>
        <v>0.004252297612</v>
      </c>
      <c r="K64" s="26" t="s">
        <v>317</v>
      </c>
      <c r="L64" s="26" t="s">
        <v>318</v>
      </c>
      <c r="M64" s="29" t="str">
        <f t="array" ref="M64">IF(F64&gt;30%,"YES","NO")</f>
        <v>YES</v>
      </c>
      <c r="N64" s="29" t="str">
        <f t="array" ref="N64">IF(H64&lt;30%,"YES","NO")</f>
        <v>YES</v>
      </c>
      <c r="O64" s="29" t="str">
        <f t="array" ref="O64"> if(AND(D64&lt;65,M64="NO",N64="NO"),"GOOD STOCK","")</f>
        <v/>
      </c>
      <c r="P64" s="29" t="str">
        <f t="array" ref="P64"> ifs((B64/$B$2)*100&gt;=60,"Large cap stocks",and((B64/$B$2)*100&lt;60,(B64/$B$2)*100&gt;40),"Medium cap stocks",(B64/$B$2)*100&lt;40,"Small cap stocks")</f>
        <v>Small cap stocks</v>
      </c>
    </row>
    <row r="65">
      <c r="A65" s="26" t="str">
        <f>IFERROR(__xludf.DUMMYFUNCTION("""COMPUTED_VALUE"""),"Mphasis")</f>
        <v>Mphasis</v>
      </c>
      <c r="B65" s="27">
        <f>IFERROR(__xludf.DUMMYFUNCTION("""COMPUTED_VALUE"""),38348.8672779)</f>
        <v>38348.86728</v>
      </c>
      <c r="C65" s="26">
        <f>IFERROR(__xludf.DUMMYFUNCTION("""COMPUTED_VALUE"""),2035.55)</f>
        <v>2035.55</v>
      </c>
      <c r="D65" s="26">
        <f>IFERROR(__xludf.DUMMYFUNCTION("""COMPUTED_VALUE"""),24.59)</f>
        <v>24.59</v>
      </c>
      <c r="E65" s="26">
        <f>IFERROR(__xludf.DUMMYFUNCTION("""COMPUTED_VALUE"""),3466.4)</f>
        <v>3466.4</v>
      </c>
      <c r="F65" s="28">
        <f>IFERROR(__xludf.DUMMYFUNCTION("""COMPUTED_VALUE"""),0.41277694438033696)</f>
        <v>0.4127769444</v>
      </c>
      <c r="G65" s="26">
        <f>IFERROR(__xludf.DUMMYFUNCTION("""COMPUTED_VALUE"""),1897.35)</f>
        <v>1897.35</v>
      </c>
      <c r="H65" s="28">
        <f>IFERROR(__xludf.DUMMYFUNCTION("""COMPUTED_VALUE"""),0.07283843255066279)</f>
        <v>0.07283843255</v>
      </c>
      <c r="I65" s="26">
        <f>IFERROR(__xludf.DUMMYFUNCTION("""COMPUTED_VALUE"""),2013.55)</f>
        <v>2013.55</v>
      </c>
      <c r="J65" s="28">
        <f>IFERROR(__xludf.DUMMYFUNCTION("""COMPUTED_VALUE"""),0.010925976509150505)</f>
        <v>0.01092597651</v>
      </c>
      <c r="K65" s="26" t="s">
        <v>233</v>
      </c>
      <c r="L65" s="26" t="s">
        <v>319</v>
      </c>
      <c r="M65" s="29" t="str">
        <f t="array" ref="M65">IF(F65&gt;30%,"YES","NO")</f>
        <v>YES</v>
      </c>
      <c r="N65" s="29" t="str">
        <f t="array" ref="N65">IF(H65&lt;30%,"YES","NO")</f>
        <v>YES</v>
      </c>
      <c r="O65" s="29" t="str">
        <f t="array" ref="O65"> if(AND(D65&lt;65,M65="NO",N65="NO"),"GOOD STOCK","")</f>
        <v/>
      </c>
      <c r="P65" s="29" t="str">
        <f t="array" ref="P65"> ifs((B65/$B$2)*100&gt;=60,"Large cap stocks",and((B65/$B$2)*100&lt;60,(B65/$B$2)*100&gt;40),"Medium cap stocks",(B65/$B$2)*100&lt;40,"Small cap stocks")</f>
        <v>Small cap stocks</v>
      </c>
    </row>
    <row r="66">
      <c r="A66" s="26" t="str">
        <f>IFERROR(__xludf.DUMMYFUNCTION("""COMPUTED_VALUE"""),"Bandhan Bank")</f>
        <v>Bandhan Bank</v>
      </c>
      <c r="B66" s="27">
        <f>IFERROR(__xludf.DUMMYFUNCTION("""COMPUTED_VALUE"""),38329.8286)</f>
        <v>38329.8286</v>
      </c>
      <c r="C66" s="26">
        <f>IFERROR(__xludf.DUMMYFUNCTION("""COMPUTED_VALUE"""),237.75)</f>
        <v>237.75</v>
      </c>
      <c r="D66" s="26">
        <f>IFERROR(__xludf.DUMMYFUNCTION("""COMPUTED_VALUE"""),9.94)</f>
        <v>9.94</v>
      </c>
      <c r="E66" s="26">
        <f>IFERROR(__xludf.DUMMYFUNCTION("""COMPUTED_VALUE"""),349.55)</f>
        <v>349.55</v>
      </c>
      <c r="F66" s="28">
        <f>IFERROR(__xludf.DUMMYFUNCTION("""COMPUTED_VALUE"""),0.319839794020884)</f>
        <v>0.319839794</v>
      </c>
      <c r="G66" s="26">
        <f>IFERROR(__xludf.DUMMYFUNCTION("""COMPUTED_VALUE"""),209.55)</f>
        <v>209.55</v>
      </c>
      <c r="H66" s="28">
        <f>IFERROR(__xludf.DUMMYFUNCTION("""COMPUTED_VALUE"""),0.1345740873299928)</f>
        <v>0.1345740873</v>
      </c>
      <c r="I66" s="26">
        <f>IFERROR(__xludf.DUMMYFUNCTION("""COMPUTED_VALUE"""),239.25)</f>
        <v>239.25</v>
      </c>
      <c r="J66" s="28">
        <f>IFERROR(__xludf.DUMMYFUNCTION("""COMPUTED_VALUE"""),-0.006269592476489028)</f>
        <v>-0.006269592476</v>
      </c>
      <c r="K66" s="26" t="s">
        <v>237</v>
      </c>
      <c r="L66" s="26" t="s">
        <v>320</v>
      </c>
      <c r="M66" s="29" t="str">
        <f t="array" ref="M66">IF(F66&gt;30%,"YES","NO")</f>
        <v>YES</v>
      </c>
      <c r="N66" s="29" t="str">
        <f t="array" ref="N66">IF(H66&lt;30%,"YES","NO")</f>
        <v>YES</v>
      </c>
      <c r="O66" s="29" t="str">
        <f t="array" ref="O66"> if(AND(D66&lt;65,M66="NO",N66="NO"),"GOOD STOCK","")</f>
        <v/>
      </c>
      <c r="P66" s="29" t="str">
        <f t="array" ref="P66"> ifs((B66/$B$2)*100&gt;=60,"Large cap stocks",and((B66/$B$2)*100&lt;60,(B66/$B$2)*100&gt;40),"Medium cap stocks",(B66/$B$2)*100&lt;40,"Small cap stocks")</f>
        <v>Small cap stocks</v>
      </c>
    </row>
    <row r="67">
      <c r="A67" s="26" t="str">
        <f>IFERROR(__xludf.DUMMYFUNCTION("""COMPUTED_VALUE"""),"MRF")</f>
        <v>MRF</v>
      </c>
      <c r="B67" s="27">
        <f>IFERROR(__xludf.DUMMYFUNCTION("""COMPUTED_VALUE"""),38048.54)</f>
        <v>38048.54</v>
      </c>
      <c r="C67" s="26">
        <f>IFERROR(__xludf.DUMMYFUNCTION("""COMPUTED_VALUE"""),89700.0)</f>
        <v>89700</v>
      </c>
      <c r="D67" s="26">
        <f>IFERROR(__xludf.DUMMYFUNCTION("""COMPUTED_VALUE"""),66.97)</f>
        <v>66.97</v>
      </c>
      <c r="E67" s="26">
        <f>IFERROR(__xludf.DUMMYFUNCTION("""COMPUTED_VALUE"""),95954.35)</f>
        <v>95954.35</v>
      </c>
      <c r="F67" s="28">
        <f>IFERROR(__xludf.DUMMYFUNCTION("""COMPUTED_VALUE"""),0.06518047383990414)</f>
        <v>0.06518047384</v>
      </c>
      <c r="G67" s="26">
        <f>IFERROR(__xludf.DUMMYFUNCTION("""COMPUTED_VALUE"""),62944.5)</f>
        <v>62944.5</v>
      </c>
      <c r="H67" s="28">
        <f>IFERROR(__xludf.DUMMYFUNCTION("""COMPUTED_VALUE"""),0.42506493815980745)</f>
        <v>0.4250649382</v>
      </c>
      <c r="I67" s="26">
        <f>IFERROR(__xludf.DUMMYFUNCTION("""COMPUTED_VALUE"""),89498.35)</f>
        <v>89498.35</v>
      </c>
      <c r="J67" s="28">
        <f>IFERROR(__xludf.DUMMYFUNCTION("""COMPUTED_VALUE"""),0.00225311416355714)</f>
        <v>0.002253114164</v>
      </c>
      <c r="K67" s="26" t="s">
        <v>306</v>
      </c>
      <c r="L67" s="26" t="s">
        <v>321</v>
      </c>
      <c r="M67" s="29" t="str">
        <f t="array" ref="M67">IF(F67&gt;30%,"YES","NO")</f>
        <v>NO</v>
      </c>
      <c r="N67" s="29" t="str">
        <f t="array" ref="N67">IF(H67&lt;30%,"YES","NO")</f>
        <v>NO</v>
      </c>
      <c r="O67" s="29" t="str">
        <f t="array" ref="O67"> if(AND(D67&lt;65,M67="NO",N67="NO"),"GOOD STOCK","")</f>
        <v/>
      </c>
      <c r="P67" s="29" t="str">
        <f t="array" ref="P67"> ifs((B67/$B$2)*100&gt;=60,"Large cap stocks",and((B67/$B$2)*100&lt;60,(B67/$B$2)*100&gt;40),"Medium cap stocks",(B67/$B$2)*100&lt;40,"Small cap stocks")</f>
        <v>Small cap stocks</v>
      </c>
    </row>
    <row r="68">
      <c r="A68" s="26" t="str">
        <f>IFERROR(__xludf.DUMMYFUNCTION("""COMPUTED_VALUE"""),"L&amp;T Technology")</f>
        <v>L&amp;T Technology</v>
      </c>
      <c r="B68" s="27">
        <f>IFERROR(__xludf.DUMMYFUNCTION("""COMPUTED_VALUE"""),36421.231513)</f>
        <v>36421.23151</v>
      </c>
      <c r="C68" s="26">
        <f>IFERROR(__xludf.DUMMYFUNCTION("""COMPUTED_VALUE"""),3446.95)</f>
        <v>3446.95</v>
      </c>
      <c r="D68" s="26">
        <f>IFERROR(__xludf.DUMMYFUNCTION("""COMPUTED_VALUE"""),34.13)</f>
        <v>34.13</v>
      </c>
      <c r="E68" s="26">
        <f>IFERROR(__xludf.DUMMYFUNCTION("""COMPUTED_VALUE"""),5714.0)</f>
        <v>5714</v>
      </c>
      <c r="F68" s="28">
        <f>IFERROR(__xludf.DUMMYFUNCTION("""COMPUTED_VALUE"""),0.396753587679384)</f>
        <v>0.3967535877</v>
      </c>
      <c r="G68" s="26">
        <f>IFERROR(__xludf.DUMMYFUNCTION("""COMPUTED_VALUE"""),2923.35)</f>
        <v>2923.35</v>
      </c>
      <c r="H68" s="28">
        <f>IFERROR(__xludf.DUMMYFUNCTION("""COMPUTED_VALUE"""),0.17910958318367623)</f>
        <v>0.1791095832</v>
      </c>
      <c r="I68" s="26">
        <f>IFERROR(__xludf.DUMMYFUNCTION("""COMPUTED_VALUE"""),3640.5)</f>
        <v>3640.5</v>
      </c>
      <c r="J68" s="28">
        <f>IFERROR(__xludf.DUMMYFUNCTION("""COMPUTED_VALUE"""),-0.05316577393215223)</f>
        <v>-0.05316577393</v>
      </c>
      <c r="K68" s="26" t="s">
        <v>298</v>
      </c>
      <c r="L68" s="26" t="s">
        <v>322</v>
      </c>
      <c r="M68" s="29" t="str">
        <f t="array" ref="M68">IF(F68&gt;30%,"YES","NO")</f>
        <v>YES</v>
      </c>
      <c r="N68" s="29" t="str">
        <f t="array" ref="N68">IF(H68&lt;30%,"YES","NO")</f>
        <v>YES</v>
      </c>
      <c r="O68" s="29" t="str">
        <f t="array" ref="O68"> if(AND(D68&lt;65,M68="NO",N68="NO"),"GOOD STOCK","")</f>
        <v/>
      </c>
      <c r="P68" s="29" t="str">
        <f t="array" ref="P68"> ifs((B68/$B$2)*100&gt;=60,"Large cap stocks",and((B68/$B$2)*100&lt;60,(B68/$B$2)*100&gt;40),"Medium cap stocks",(B68/$B$2)*100&lt;40,"Small cap stocks")</f>
        <v>Small cap stocks</v>
      </c>
    </row>
    <row r="69">
      <c r="A69" s="26" t="str">
        <f>IFERROR(__xludf.DUMMYFUNCTION("""COMPUTED_VALUE"""),"Honeywell Auto")</f>
        <v>Honeywell Auto</v>
      </c>
      <c r="B69" s="27">
        <f>IFERROR(__xludf.DUMMYFUNCTION("""COMPUTED_VALUE"""),35109.687833)</f>
        <v>35109.68783</v>
      </c>
      <c r="C69" s="26">
        <f>IFERROR(__xludf.DUMMYFUNCTION("""COMPUTED_VALUE"""),39710.0)</f>
        <v>39710</v>
      </c>
      <c r="D69" s="26">
        <f>IFERROR(__xludf.DUMMYFUNCTION("""COMPUTED_VALUE"""),91.84)</f>
        <v>91.84</v>
      </c>
      <c r="E69" s="26">
        <f>IFERROR(__xludf.DUMMYFUNCTION("""COMPUTED_VALUE"""),46397.7)</f>
        <v>46397.7</v>
      </c>
      <c r="F69" s="28">
        <f>IFERROR(__xludf.DUMMYFUNCTION("""COMPUTED_VALUE"""),0.14413861031904593)</f>
        <v>0.1441386103</v>
      </c>
      <c r="G69" s="26">
        <f>IFERROR(__xludf.DUMMYFUNCTION("""COMPUTED_VALUE"""),30185.35)</f>
        <v>30185.35</v>
      </c>
      <c r="H69" s="28">
        <f>IFERROR(__xludf.DUMMYFUNCTION("""COMPUTED_VALUE"""),0.3155388292665151)</f>
        <v>0.3155388293</v>
      </c>
      <c r="I69" s="26">
        <f>IFERROR(__xludf.DUMMYFUNCTION("""COMPUTED_VALUE"""),39677.1)</f>
        <v>39677.1</v>
      </c>
      <c r="J69" s="28">
        <f>IFERROR(__xludf.DUMMYFUNCTION("""COMPUTED_VALUE"""),8.291936658677538E-4)</f>
        <v>0.0008291936659</v>
      </c>
      <c r="K69" s="26" t="s">
        <v>294</v>
      </c>
      <c r="L69" s="26" t="s">
        <v>323</v>
      </c>
      <c r="M69" s="29" t="str">
        <f t="array" ref="M69">IF(F69&gt;30%,"YES","NO")</f>
        <v>NO</v>
      </c>
      <c r="N69" s="29" t="str">
        <f t="array" ref="N69">IF(H69&lt;30%,"YES","NO")</f>
        <v>NO</v>
      </c>
      <c r="O69" s="29" t="str">
        <f t="array" ref="O69"> if(AND(D69&lt;65,M69="NO",N69="NO"),"GOOD STOCK","")</f>
        <v/>
      </c>
      <c r="P69" s="29" t="str">
        <f t="array" ref="P69"> ifs((B69/$B$2)*100&gt;=60,"Large cap stocks",and((B69/$B$2)*100&lt;60,(B69/$B$2)*100&gt;40),"Medium cap stocks",(B69/$B$2)*100&lt;40,"Small cap stocks")</f>
        <v>Small cap stocks</v>
      </c>
    </row>
    <row r="70">
      <c r="A70" s="26" t="str">
        <f>IFERROR(__xludf.DUMMYFUNCTION("""COMPUTED_VALUE"""),"Jubilant FoodWorks")</f>
        <v>Jubilant FoodWorks</v>
      </c>
      <c r="B70" s="27">
        <f>IFERROR(__xludf.DUMMYFUNCTION("""COMPUTED_VALUE"""),32766.2786899)</f>
        <v>32766.27869</v>
      </c>
      <c r="C70" s="26">
        <f>IFERROR(__xludf.DUMMYFUNCTION("""COMPUTED_VALUE"""),498.25)</f>
        <v>498.25</v>
      </c>
      <c r="D70" s="26">
        <f>IFERROR(__xludf.DUMMYFUNCTION("""COMPUTED_VALUE"""),69.25)</f>
        <v>69.25</v>
      </c>
      <c r="E70" s="26">
        <f>IFERROR(__xludf.DUMMYFUNCTION("""COMPUTED_VALUE"""),806.4)</f>
        <v>806.4</v>
      </c>
      <c r="F70" s="28">
        <f>IFERROR(__xludf.DUMMYFUNCTION("""COMPUTED_VALUE"""),0.38213045634920634)</f>
        <v>0.3821304563</v>
      </c>
      <c r="G70" s="26">
        <f>IFERROR(__xludf.DUMMYFUNCTION("""COMPUTED_VALUE"""),451.2)</f>
        <v>451.2</v>
      </c>
      <c r="H70" s="28">
        <f>IFERROR(__xludf.DUMMYFUNCTION("""COMPUTED_VALUE"""),0.10427748226950358)</f>
        <v>0.1042774823</v>
      </c>
      <c r="I70" s="26">
        <f>IFERROR(__xludf.DUMMYFUNCTION("""COMPUTED_VALUE"""),488.55)</f>
        <v>488.55</v>
      </c>
      <c r="J70" s="28">
        <f>IFERROR(__xludf.DUMMYFUNCTION("""COMPUTED_VALUE"""),0.019854671988537485)</f>
        <v>0.01985467199</v>
      </c>
      <c r="K70" s="26" t="s">
        <v>280</v>
      </c>
      <c r="L70" s="26" t="s">
        <v>324</v>
      </c>
      <c r="M70" s="29" t="str">
        <f t="array" ref="M70">IF(F70&gt;30%,"YES","NO")</f>
        <v>YES</v>
      </c>
      <c r="N70" s="29" t="str">
        <f t="array" ref="N70">IF(H70&lt;30%,"YES","NO")</f>
        <v>YES</v>
      </c>
      <c r="O70" s="29" t="str">
        <f t="array" ref="O70"> if(AND(D70&lt;65,M70="NO",N70="NO"),"GOOD STOCK","")</f>
        <v/>
      </c>
      <c r="P70" s="29" t="str">
        <f t="array" ref="P70"> ifs((B70/$B$2)*100&gt;=60,"Large cap stocks",and((B70/$B$2)*100&lt;60,(B70/$B$2)*100&gt;40),"Medium cap stocks",(B70/$B$2)*100&lt;40,"Small cap stocks")</f>
        <v>Small cap stocks</v>
      </c>
    </row>
    <row r="71">
      <c r="A71" s="26" t="str">
        <f>IFERROR(__xludf.DUMMYFUNCTION("""COMPUTED_VALUE"""),"APL Apollo")</f>
        <v>APL Apollo</v>
      </c>
      <c r="B71" s="27">
        <f>IFERROR(__xludf.DUMMYFUNCTION("""COMPUTED_VALUE"""),31477.05)</f>
        <v>31477.05</v>
      </c>
      <c r="C71" s="26">
        <f>IFERROR(__xludf.DUMMYFUNCTION("""COMPUTED_VALUE"""),1136.0)</f>
        <v>1136</v>
      </c>
      <c r="D71" s="26">
        <f>IFERROR(__xludf.DUMMYFUNCTION("""COMPUTED_VALUE"""),54.9)</f>
        <v>54.9</v>
      </c>
      <c r="E71" s="26">
        <f>IFERROR(__xludf.DUMMYFUNCTION("""COMPUTED_VALUE"""),1193.85)</f>
        <v>1193.85</v>
      </c>
      <c r="F71" s="28">
        <f>IFERROR(__xludf.DUMMYFUNCTION("""COMPUTED_VALUE"""),0.04845667378648902)</f>
        <v>0.04845667379</v>
      </c>
      <c r="G71" s="26">
        <f>IFERROR(__xludf.DUMMYFUNCTION("""COMPUTED_VALUE"""),771.0)</f>
        <v>771</v>
      </c>
      <c r="H71" s="28">
        <f>IFERROR(__xludf.DUMMYFUNCTION("""COMPUTED_VALUE"""),0.47341115434500647)</f>
        <v>0.4734111543</v>
      </c>
      <c r="I71" s="26">
        <f>IFERROR(__xludf.DUMMYFUNCTION("""COMPUTED_VALUE"""),1127.95)</f>
        <v>1127.95</v>
      </c>
      <c r="J71" s="28">
        <f>IFERROR(__xludf.DUMMYFUNCTION("""COMPUTED_VALUE"""),0.007136841172037727)</f>
        <v>0.007136841172</v>
      </c>
      <c r="K71" s="26" t="s">
        <v>325</v>
      </c>
      <c r="L71" s="26" t="s">
        <v>326</v>
      </c>
      <c r="M71" s="29" t="str">
        <f t="array" ref="M71">IF(F71&gt;30%,"YES","NO")</f>
        <v>NO</v>
      </c>
      <c r="N71" s="29" t="str">
        <f t="array" ref="N71">IF(H71&lt;30%,"YES","NO")</f>
        <v>NO</v>
      </c>
      <c r="O71" s="29" t="str">
        <f t="array" ref="O71"> if(AND(D71&lt;65,M71="NO",N71="NO"),"GOOD STOCK","")</f>
        <v>GOOD STOCK</v>
      </c>
      <c r="P71" s="29" t="str">
        <f t="array" ref="P71"> ifs((B71/$B$2)*100&gt;=60,"Large cap stocks",and((B71/$B$2)*100&lt;60,(B71/$B$2)*100&gt;40),"Medium cap stocks",(B71/$B$2)*100&lt;40,"Small cap stocks")</f>
        <v>Small cap stocks</v>
      </c>
    </row>
    <row r="72">
      <c r="A72" s="26" t="str">
        <f>IFERROR(__xludf.DUMMYFUNCTION("""COMPUTED_VALUE"""),"Supreme Industries")</f>
        <v>Supreme Industries</v>
      </c>
      <c r="B72" s="27">
        <f>IFERROR(__xludf.DUMMYFUNCTION("""COMPUTED_VALUE"""),31369.92)</f>
        <v>31369.92</v>
      </c>
      <c r="C72" s="26">
        <f>IFERROR(__xludf.DUMMYFUNCTION("""COMPUTED_VALUE"""),2461.0)</f>
        <v>2461</v>
      </c>
      <c r="D72" s="26">
        <f>IFERROR(__xludf.DUMMYFUNCTION("""COMPUTED_VALUE"""),36.12)</f>
        <v>36.12</v>
      </c>
      <c r="E72" s="26">
        <f>IFERROR(__xludf.DUMMYFUNCTION("""COMPUTED_VALUE"""),2607.65)</f>
        <v>2607.65</v>
      </c>
      <c r="F72" s="28">
        <f>IFERROR(__xludf.DUMMYFUNCTION("""COMPUTED_VALUE"""),0.05623837554886587)</f>
        <v>0.05623837555</v>
      </c>
      <c r="G72" s="26">
        <f>IFERROR(__xludf.DUMMYFUNCTION("""COMPUTED_VALUE"""),1666.25)</f>
        <v>1666.25</v>
      </c>
      <c r="H72" s="28">
        <f>IFERROR(__xludf.DUMMYFUNCTION("""COMPUTED_VALUE"""),0.47696924231057763)</f>
        <v>0.4769692423</v>
      </c>
      <c r="I72" s="26">
        <f>IFERROR(__xludf.DUMMYFUNCTION("""COMPUTED_VALUE"""),2452.7)</f>
        <v>2452.7</v>
      </c>
      <c r="J72" s="28">
        <f>IFERROR(__xludf.DUMMYFUNCTION("""COMPUTED_VALUE"""),0.003384025767521581)</f>
        <v>0.003384025768</v>
      </c>
      <c r="K72" s="26" t="s">
        <v>327</v>
      </c>
      <c r="L72" s="26" t="s">
        <v>328</v>
      </c>
      <c r="M72" s="29" t="str">
        <f t="array" ref="M72">IF(F72&gt;30%,"YES","NO")</f>
        <v>NO</v>
      </c>
      <c r="N72" s="29" t="str">
        <f t="array" ref="N72">IF(H72&lt;30%,"YES","NO")</f>
        <v>NO</v>
      </c>
      <c r="O72" s="29" t="str">
        <f t="array" ref="O72"> if(AND(D72&lt;65,M72="NO",N72="NO"),"GOOD STOCK","")</f>
        <v>GOOD STOCK</v>
      </c>
      <c r="P72" s="29" t="str">
        <f t="array" ref="P72"> ifs((B72/$B$2)*100&gt;=60,"Large cap stocks",and((B72/$B$2)*100&lt;60,(B72/$B$2)*100&gt;40),"Medium cap stocks",(B72/$B$2)*100&lt;40,"Small cap stocks")</f>
        <v>Small cap stocks</v>
      </c>
    </row>
    <row r="73">
      <c r="A73" s="26" t="str">
        <f>IFERROR(__xludf.DUMMYFUNCTION("""COMPUTED_VALUE"""),"Gujarat Gas")</f>
        <v>Gujarat Gas</v>
      </c>
      <c r="B73" s="27">
        <f>IFERROR(__xludf.DUMMYFUNCTION("""COMPUTED_VALUE"""),31008.5328948)</f>
        <v>31008.53289</v>
      </c>
      <c r="C73" s="26">
        <f>IFERROR(__xludf.DUMMYFUNCTION("""COMPUTED_VALUE"""),450.2)</f>
        <v>450.2</v>
      </c>
      <c r="D73" s="26">
        <f>IFERROR(__xludf.DUMMYFUNCTION("""COMPUTED_VALUE"""),22.9)</f>
        <v>22.9</v>
      </c>
      <c r="E73" s="26">
        <f>IFERROR(__xludf.DUMMYFUNCTION("""COMPUTED_VALUE"""),721.8)</f>
        <v>721.8</v>
      </c>
      <c r="F73" s="28">
        <f>IFERROR(__xludf.DUMMYFUNCTION("""COMPUTED_VALUE"""),0.3762815184261568)</f>
        <v>0.3762815184</v>
      </c>
      <c r="G73" s="26">
        <f>IFERROR(__xludf.DUMMYFUNCTION("""COMPUTED_VALUE"""),403.55)</f>
        <v>403.55</v>
      </c>
      <c r="H73" s="28">
        <f>IFERROR(__xludf.DUMMYFUNCTION("""COMPUTED_VALUE"""),0.11559905835708084)</f>
        <v>0.1155990584</v>
      </c>
      <c r="I73" s="26">
        <f>IFERROR(__xludf.DUMMYFUNCTION("""COMPUTED_VALUE"""),466.8)</f>
        <v>466.8</v>
      </c>
      <c r="J73" s="28">
        <f>IFERROR(__xludf.DUMMYFUNCTION("""COMPUTED_VALUE"""),-0.03556126820908317)</f>
        <v>-0.03556126821</v>
      </c>
      <c r="K73" s="26" t="s">
        <v>329</v>
      </c>
      <c r="L73" s="26" t="s">
        <v>330</v>
      </c>
      <c r="M73" s="29" t="str">
        <f t="array" ref="M73">IF(F73&gt;30%,"YES","NO")</f>
        <v>YES</v>
      </c>
      <c r="N73" s="29" t="str">
        <f t="array" ref="N73">IF(H73&lt;30%,"YES","NO")</f>
        <v>YES</v>
      </c>
      <c r="O73" s="29" t="str">
        <f t="array" ref="O73"> if(AND(D73&lt;65,M73="NO",N73="NO"),"GOOD STOCK","")</f>
        <v/>
      </c>
      <c r="P73" s="29" t="str">
        <f t="array" ref="P73"> ifs((B73/$B$2)*100&gt;=60,"Large cap stocks",and((B73/$B$2)*100&lt;60,(B73/$B$2)*100&gt;40),"Medium cap stocks",(B73/$B$2)*100&lt;40,"Small cap stocks")</f>
        <v>Small cap stocks</v>
      </c>
    </row>
    <row r="74">
      <c r="A74" s="26" t="str">
        <f>IFERROR(__xludf.DUMMYFUNCTION("""COMPUTED_VALUE"""),"Gujarat Florochemical")</f>
        <v>Gujarat Florochemical</v>
      </c>
      <c r="B74" s="27">
        <f>IFERROR(__xludf.DUMMYFUNCTION("""COMPUTED_VALUE"""),30664.6275)</f>
        <v>30664.6275</v>
      </c>
      <c r="C74" s="26">
        <f>IFERROR(__xludf.DUMMYFUNCTION("""COMPUTED_VALUE"""),2793.5)</f>
        <v>2793.5</v>
      </c>
      <c r="D74" s="26">
        <f>IFERROR(__xludf.DUMMYFUNCTION("""COMPUTED_VALUE"""),28.23)</f>
        <v>28.23</v>
      </c>
      <c r="E74" s="26">
        <f>IFERROR(__xludf.DUMMYFUNCTION("""COMPUTED_VALUE"""),4172.95)</f>
        <v>4172.95</v>
      </c>
      <c r="F74" s="28">
        <f>IFERROR(__xludf.DUMMYFUNCTION("""COMPUTED_VALUE"""),0.33056950119220213)</f>
        <v>0.3305695012</v>
      </c>
      <c r="G74" s="26">
        <f>IFERROR(__xludf.DUMMYFUNCTION("""COMPUTED_VALUE"""),2105.15)</f>
        <v>2105.15</v>
      </c>
      <c r="H74" s="28">
        <f>IFERROR(__xludf.DUMMYFUNCTION("""COMPUTED_VALUE"""),0.32698382538061416)</f>
        <v>0.3269838254</v>
      </c>
      <c r="I74" s="26">
        <f>IFERROR(__xludf.DUMMYFUNCTION("""COMPUTED_VALUE"""),2841.6)</f>
        <v>2841.6</v>
      </c>
      <c r="J74" s="28">
        <f>IFERROR(__xludf.DUMMYFUNCTION("""COMPUTED_VALUE"""),-0.0169270833333333)</f>
        <v>-0.01692708333</v>
      </c>
      <c r="K74" s="26" t="s">
        <v>331</v>
      </c>
      <c r="L74" s="26" t="s">
        <v>332</v>
      </c>
      <c r="M74" s="29" t="str">
        <f t="array" ref="M74">IF(F74&gt;30%,"YES","NO")</f>
        <v>YES</v>
      </c>
      <c r="N74" s="29" t="str">
        <f t="array" ref="N74">IF(H74&lt;30%,"YES","NO")</f>
        <v>NO</v>
      </c>
      <c r="O74" s="29" t="str">
        <f t="array" ref="O74"> if(AND(D74&lt;65,M74="NO",N74="NO"),"GOOD STOCK","")</f>
        <v/>
      </c>
      <c r="P74" s="29" t="str">
        <f t="array" ref="P74"> ifs((B74/$B$2)*100&gt;=60,"Large cap stocks",and((B74/$B$2)*100&lt;60,(B74/$B$2)*100&gt;40),"Medium cap stocks",(B74/$B$2)*100&lt;40,"Small cap stocks")</f>
        <v>Small cap stocks</v>
      </c>
    </row>
    <row r="75">
      <c r="A75" s="26" t="str">
        <f>IFERROR(__xludf.DUMMYFUNCTION("""COMPUTED_VALUE"""),"Persistent System")</f>
        <v>Persistent System</v>
      </c>
      <c r="B75" s="27">
        <f>IFERROR(__xludf.DUMMYFUNCTION("""COMPUTED_VALUE"""),30617.09)</f>
        <v>30617.09</v>
      </c>
      <c r="C75" s="26">
        <f>IFERROR(__xludf.DUMMYFUNCTION("""COMPUTED_VALUE"""),4009.0)</f>
        <v>4009</v>
      </c>
      <c r="D75" s="26">
        <f>IFERROR(__xludf.DUMMYFUNCTION("""COMPUTED_VALUE"""),37.59)</f>
        <v>37.59</v>
      </c>
      <c r="E75" s="26">
        <f>IFERROR(__xludf.DUMMYFUNCTION("""COMPUTED_VALUE"""),4954.0)</f>
        <v>4954</v>
      </c>
      <c r="F75" s="28">
        <f>IFERROR(__xludf.DUMMYFUNCTION("""COMPUTED_VALUE"""),0.19075494549858701)</f>
        <v>0.1907549455</v>
      </c>
      <c r="G75" s="26">
        <f>IFERROR(__xludf.DUMMYFUNCTION("""COMPUTED_VALUE"""),3092.05)</f>
        <v>3092.05</v>
      </c>
      <c r="H75" s="28">
        <f>IFERROR(__xludf.DUMMYFUNCTION("""COMPUTED_VALUE"""),0.296550831972316)</f>
        <v>0.296550832</v>
      </c>
      <c r="I75" s="26">
        <f>IFERROR(__xludf.DUMMYFUNCTION("""COMPUTED_VALUE"""),3978.2)</f>
        <v>3978.2</v>
      </c>
      <c r="J75" s="28">
        <f>IFERROR(__xludf.DUMMYFUNCTION("""COMPUTED_VALUE"""),0.007742194962545921)</f>
        <v>0.007742194963</v>
      </c>
      <c r="K75" s="26" t="s">
        <v>233</v>
      </c>
      <c r="L75" s="26" t="s">
        <v>333</v>
      </c>
      <c r="M75" s="29" t="str">
        <f t="array" ref="M75">IF(F75&gt;30%,"YES","NO")</f>
        <v>NO</v>
      </c>
      <c r="N75" s="29" t="str">
        <f t="array" ref="N75">IF(H75&lt;30%,"YES","NO")</f>
        <v>YES</v>
      </c>
      <c r="O75" s="29" t="str">
        <f t="array" ref="O75"> if(AND(D75&lt;65,M75="NO",N75="NO"),"GOOD STOCK","")</f>
        <v/>
      </c>
      <c r="P75" s="29" t="str">
        <f t="array" ref="P75"> ifs((B75/$B$2)*100&gt;=60,"Large cap stocks",and((B75/$B$2)*100&lt;60,(B75/$B$2)*100&gt;40),"Medium cap stocks",(B75/$B$2)*100&lt;40,"Small cap stocks")</f>
        <v>Small cap stocks</v>
      </c>
    </row>
    <row r="76">
      <c r="A76" s="26" t="str">
        <f>IFERROR(__xludf.DUMMYFUNCTION("""COMPUTED_VALUE"""),"Federal Bank")</f>
        <v>Federal Bank</v>
      </c>
      <c r="B76" s="27">
        <f>IFERROR(__xludf.DUMMYFUNCTION("""COMPUTED_VALUE"""),29278.4915846)</f>
        <v>29278.49158</v>
      </c>
      <c r="C76" s="26">
        <f>IFERROR(__xludf.DUMMYFUNCTION("""COMPUTED_VALUE"""),138.45)</f>
        <v>138.45</v>
      </c>
      <c r="D76" s="26">
        <f>IFERROR(__xludf.DUMMYFUNCTION("""COMPUTED_VALUE"""),11.78)</f>
        <v>11.78</v>
      </c>
      <c r="E76" s="26">
        <f>IFERROR(__xludf.DUMMYFUNCTION("""COMPUTED_VALUE"""),142.25)</f>
        <v>142.25</v>
      </c>
      <c r="F76" s="28">
        <f>IFERROR(__xludf.DUMMYFUNCTION("""COMPUTED_VALUE"""),0.0267135325131811)</f>
        <v>0.02671353251</v>
      </c>
      <c r="G76" s="26">
        <f>IFERROR(__xludf.DUMMYFUNCTION("""COMPUTED_VALUE"""),82.5)</f>
        <v>82.5</v>
      </c>
      <c r="H76" s="28">
        <f>IFERROR(__xludf.DUMMYFUNCTION("""COMPUTED_VALUE"""),0.678181818181818)</f>
        <v>0.6781818182</v>
      </c>
      <c r="I76" s="26">
        <f>IFERROR(__xludf.DUMMYFUNCTION("""COMPUTED_VALUE"""),135.05)</f>
        <v>135.05</v>
      </c>
      <c r="J76" s="28">
        <f>IFERROR(__xludf.DUMMYFUNCTION("""COMPUTED_VALUE"""),0.025175860792298978)</f>
        <v>0.02517586079</v>
      </c>
      <c r="K76" s="26" t="s">
        <v>237</v>
      </c>
      <c r="L76" s="26" t="s">
        <v>334</v>
      </c>
      <c r="M76" s="29" t="str">
        <f t="array" ref="M76">IF(F76&gt;30%,"YES","NO")</f>
        <v>NO</v>
      </c>
      <c r="N76" s="29" t="str">
        <f t="array" ref="N76">IF(H76&lt;30%,"YES","NO")</f>
        <v>NO</v>
      </c>
      <c r="O76" s="29" t="str">
        <f t="array" ref="O76"> if(AND(D76&lt;65,M76="NO",N76="NO"),"GOOD STOCK","")</f>
        <v>GOOD STOCK</v>
      </c>
      <c r="P76" s="29" t="str">
        <f t="array" ref="P76"> ifs((B76/$B$2)*100&gt;=60,"Large cap stocks",and((B76/$B$2)*100&lt;60,(B76/$B$2)*100&gt;40),"Medium cap stocks",(B76/$B$2)*100&lt;40,"Small cap stocks")</f>
        <v>Small cap stocks</v>
      </c>
    </row>
    <row r="77">
      <c r="A77" s="26" t="str">
        <f>IFERROR(__xludf.DUMMYFUNCTION("""COMPUTED_VALUE"""),"Indraprastha Gas")</f>
        <v>Indraprastha Gas</v>
      </c>
      <c r="B77" s="27">
        <f>IFERROR(__xludf.DUMMYFUNCTION("""COMPUTED_VALUE"""),29162.03)</f>
        <v>29162.03</v>
      </c>
      <c r="C77" s="26">
        <f>IFERROR(__xludf.DUMMYFUNCTION("""COMPUTED_VALUE"""),416.85)</f>
        <v>416.85</v>
      </c>
      <c r="D77" s="26">
        <f>IFERROR(__xludf.DUMMYFUNCTION("""COMPUTED_VALUE"""),17.03)</f>
        <v>17.03</v>
      </c>
      <c r="E77" s="26">
        <f>IFERROR(__xludf.DUMMYFUNCTION("""COMPUTED_VALUE"""),466.65)</f>
        <v>466.65</v>
      </c>
      <c r="F77" s="28">
        <f>IFERROR(__xludf.DUMMYFUNCTION("""COMPUTED_VALUE"""),0.10671809707489543)</f>
        <v>0.1067180971</v>
      </c>
      <c r="G77" s="26">
        <f>IFERROR(__xludf.DUMMYFUNCTION("""COMPUTED_VALUE"""),322.1)</f>
        <v>322.1</v>
      </c>
      <c r="H77" s="28">
        <f>IFERROR(__xludf.DUMMYFUNCTION("""COMPUTED_VALUE"""),0.2941633033219497)</f>
        <v>0.2941633033</v>
      </c>
      <c r="I77" s="26">
        <f>IFERROR(__xludf.DUMMYFUNCTION("""COMPUTED_VALUE"""),418.6)</f>
        <v>418.6</v>
      </c>
      <c r="J77" s="28">
        <f>IFERROR(__xludf.DUMMYFUNCTION("""COMPUTED_VALUE"""),-0.004180602006688963)</f>
        <v>-0.004180602007</v>
      </c>
      <c r="K77" s="26" t="s">
        <v>329</v>
      </c>
      <c r="L77" s="26" t="s">
        <v>335</v>
      </c>
      <c r="M77" s="29" t="str">
        <f t="array" ref="M77">IF(F77&gt;30%,"YES","NO")</f>
        <v>NO</v>
      </c>
      <c r="N77" s="29" t="str">
        <f t="array" ref="N77">IF(H77&lt;30%,"YES","NO")</f>
        <v>YES</v>
      </c>
      <c r="O77" s="29" t="str">
        <f t="array" ref="O77"> if(AND(D77&lt;65,M77="NO",N77="NO"),"GOOD STOCK","")</f>
        <v/>
      </c>
      <c r="P77" s="29" t="str">
        <f t="array" ref="P77"> ifs((B77/$B$2)*100&gt;=60,"Large cap stocks",and((B77/$B$2)*100&lt;60,(B77/$B$2)*100&gt;40),"Medium cap stocks",(B77/$B$2)*100&lt;40,"Small cap stocks")</f>
        <v>Small cap stocks</v>
      </c>
    </row>
    <row r="78">
      <c r="A78" s="26" t="str">
        <f>IFERROR(__xludf.DUMMYFUNCTION("""COMPUTED_VALUE"""),"Max Financials")</f>
        <v>Max Financials</v>
      </c>
      <c r="B78" s="27">
        <f>IFERROR(__xludf.DUMMYFUNCTION("""COMPUTED_VALUE"""),27569.4122639)</f>
        <v>27569.41226</v>
      </c>
      <c r="C78" s="26">
        <f>IFERROR(__xludf.DUMMYFUNCTION("""COMPUTED_VALUE"""),799.4)</f>
        <v>799.4</v>
      </c>
      <c r="D78" s="26">
        <f>IFERROR(__xludf.DUMMYFUNCTION("""COMPUTED_VALUE"""),88.04)</f>
        <v>88.04</v>
      </c>
      <c r="E78" s="26">
        <f>IFERROR(__xludf.DUMMYFUNCTION("""COMPUTED_VALUE"""),1065.0)</f>
        <v>1065</v>
      </c>
      <c r="F78" s="28">
        <f>IFERROR(__xludf.DUMMYFUNCTION("""COMPUTED_VALUE"""),0.24938967136150236)</f>
        <v>0.2493896714</v>
      </c>
      <c r="G78" s="26">
        <f>IFERROR(__xludf.DUMMYFUNCTION("""COMPUTED_VALUE"""),627.8)</f>
        <v>627.8</v>
      </c>
      <c r="H78" s="28">
        <f>IFERROR(__xludf.DUMMYFUNCTION("""COMPUTED_VALUE"""),0.2733354571519593)</f>
        <v>0.2733354572</v>
      </c>
      <c r="I78" s="26">
        <f>IFERROR(__xludf.DUMMYFUNCTION("""COMPUTED_VALUE"""),796.25)</f>
        <v>796.25</v>
      </c>
      <c r="J78" s="28">
        <f>IFERROR(__xludf.DUMMYFUNCTION("""COMPUTED_VALUE"""),0.003956043956043927)</f>
        <v>0.003956043956</v>
      </c>
      <c r="K78" s="26" t="s">
        <v>239</v>
      </c>
      <c r="L78" s="26" t="s">
        <v>336</v>
      </c>
      <c r="M78" s="29" t="str">
        <f t="array" ref="M78">IF(F78&gt;30%,"YES","NO")</f>
        <v>NO</v>
      </c>
      <c r="N78" s="29" t="str">
        <f t="array" ref="N78">IF(H78&lt;30%,"YES","NO")</f>
        <v>YES</v>
      </c>
      <c r="O78" s="29" t="str">
        <f t="array" ref="O78"> if(AND(D78&lt;65,M78="NO",N78="NO"),"GOOD STOCK","")</f>
        <v/>
      </c>
      <c r="P78" s="29" t="str">
        <f t="array" ref="P78"> ifs((B78/$B$2)*100&gt;=60,"Large cap stocks",and((B78/$B$2)*100&lt;60,(B78/$B$2)*100&gt;40),"Medium cap stocks",(B78/$B$2)*100&lt;40,"Small cap stocks")</f>
        <v>Small cap stocks</v>
      </c>
    </row>
    <row r="79">
      <c r="A79" s="26" t="str">
        <f>IFERROR(__xludf.DUMMYFUNCTION("""COMPUTED_VALUE"""),"Voltas")</f>
        <v>Voltas</v>
      </c>
      <c r="B79" s="27">
        <f>IFERROR(__xludf.DUMMYFUNCTION("""COMPUTED_VALUE"""),26702.2965179)</f>
        <v>26702.29652</v>
      </c>
      <c r="C79" s="26">
        <f>IFERROR(__xludf.DUMMYFUNCTION("""COMPUTED_VALUE"""),805.9)</f>
        <v>805.9</v>
      </c>
      <c r="D79" s="26">
        <f>IFERROR(__xludf.DUMMYFUNCTION("""COMPUTED_VALUE"""),70.1)</f>
        <v>70.1</v>
      </c>
      <c r="E79" s="26">
        <f>IFERROR(__xludf.DUMMYFUNCTION("""COMPUTED_VALUE"""),1347.75)</f>
        <v>1347.75</v>
      </c>
      <c r="F79" s="28">
        <f>IFERROR(__xludf.DUMMYFUNCTION("""COMPUTED_VALUE"""),0.4020404377666481)</f>
        <v>0.4020404378</v>
      </c>
      <c r="G79" s="26">
        <f>IFERROR(__xludf.DUMMYFUNCTION("""COMPUTED_VALUE"""),770.55)</f>
        <v>770.55</v>
      </c>
      <c r="H79" s="28">
        <f>IFERROR(__xludf.DUMMYFUNCTION("""COMPUTED_VALUE"""),0.04587632210758552)</f>
        <v>0.04587632211</v>
      </c>
      <c r="I79" s="26">
        <f>IFERROR(__xludf.DUMMYFUNCTION("""COMPUTED_VALUE"""),808.15)</f>
        <v>808.15</v>
      </c>
      <c r="J79" s="28">
        <f>IFERROR(__xludf.DUMMYFUNCTION("""COMPUTED_VALUE"""),-0.002784136608302914)</f>
        <v>-0.002784136608</v>
      </c>
      <c r="K79" s="26" t="s">
        <v>282</v>
      </c>
      <c r="L79" s="26" t="s">
        <v>337</v>
      </c>
      <c r="M79" s="29" t="str">
        <f t="array" ref="M79">IF(F79&gt;30%,"YES","NO")</f>
        <v>YES</v>
      </c>
      <c r="N79" s="29" t="str">
        <f t="array" ref="N79">IF(H79&lt;30%,"YES","NO")</f>
        <v>YES</v>
      </c>
      <c r="O79" s="29" t="str">
        <f t="array" ref="O79"> if(AND(D79&lt;65,M79="NO",N79="NO"),"GOOD STOCK","")</f>
        <v/>
      </c>
      <c r="P79" s="29" t="str">
        <f t="array" ref="P79"> ifs((B79/$B$2)*100&gt;=60,"Large cap stocks",and((B79/$B$2)*100&lt;60,(B79/$B$2)*100&gt;40),"Medium cap stocks",(B79/$B$2)*100&lt;40,"Small cap stocks")</f>
        <v>Small cap stocks</v>
      </c>
    </row>
    <row r="80">
      <c r="A80" s="26" t="str">
        <f>IFERROR(__xludf.DUMMYFUNCTION("""COMPUTED_VALUE"""),"Deepak Nitrite")</f>
        <v>Deepak Nitrite</v>
      </c>
      <c r="B80" s="27">
        <f>IFERROR(__xludf.DUMMYFUNCTION("""COMPUTED_VALUE"""),26525.721745)</f>
        <v>26525.72175</v>
      </c>
      <c r="C80" s="26">
        <f>IFERROR(__xludf.DUMMYFUNCTION("""COMPUTED_VALUE"""),1944.05)</f>
        <v>1944.05</v>
      </c>
      <c r="D80" s="26">
        <f>IFERROR(__xludf.DUMMYFUNCTION("""COMPUTED_VALUE"""),28.86)</f>
        <v>28.86</v>
      </c>
      <c r="E80" s="26">
        <f>IFERROR(__xludf.DUMMYFUNCTION("""COMPUTED_VALUE"""),2690.05)</f>
        <v>2690.05</v>
      </c>
      <c r="F80" s="28">
        <f>IFERROR(__xludf.DUMMYFUNCTION("""COMPUTED_VALUE"""),0.27731826545974986)</f>
        <v>0.2773182655</v>
      </c>
      <c r="G80" s="26">
        <f>IFERROR(__xludf.DUMMYFUNCTION("""COMPUTED_VALUE"""),1681.15)</f>
        <v>1681.15</v>
      </c>
      <c r="H80" s="28">
        <f>IFERROR(__xludf.DUMMYFUNCTION("""COMPUTED_VALUE"""),0.15638104868691066)</f>
        <v>0.1563810487</v>
      </c>
      <c r="I80" s="26">
        <f>IFERROR(__xludf.DUMMYFUNCTION("""COMPUTED_VALUE"""),1941.8)</f>
        <v>1941.8</v>
      </c>
      <c r="J80" s="28">
        <f>IFERROR(__xludf.DUMMYFUNCTION("""COMPUTED_VALUE"""),0.0011587187145947059)</f>
        <v>0.001158718715</v>
      </c>
      <c r="K80" s="26" t="s">
        <v>265</v>
      </c>
      <c r="L80" s="26" t="s">
        <v>338</v>
      </c>
      <c r="M80" s="29" t="str">
        <f t="array" ref="M80">IF(F80&gt;30%,"YES","NO")</f>
        <v>NO</v>
      </c>
      <c r="N80" s="29" t="str">
        <f t="array" ref="N80">IF(H80&lt;30%,"YES","NO")</f>
        <v>YES</v>
      </c>
      <c r="O80" s="29" t="str">
        <f t="array" ref="O80"> if(AND(D80&lt;65,M80="NO",N80="NO"),"GOOD STOCK","")</f>
        <v/>
      </c>
      <c r="P80" s="29" t="str">
        <f t="array" ref="P80"> ifs((B80/$B$2)*100&gt;=60,"Large cap stocks",and((B80/$B$2)*100&lt;60,(B80/$B$2)*100&gt;40),"Medium cap stocks",(B80/$B$2)*100&lt;40,"Small cap stocks")</f>
        <v>Small cap stocks</v>
      </c>
    </row>
    <row r="81">
      <c r="A81" s="26" t="str">
        <f>IFERROR(__xludf.DUMMYFUNCTION("""COMPUTED_VALUE"""),"Coromandel International")</f>
        <v>Coromandel International</v>
      </c>
      <c r="B81" s="27">
        <f>IFERROR(__xludf.DUMMYFUNCTION("""COMPUTED_VALUE"""),25664.11)</f>
        <v>25664.11</v>
      </c>
      <c r="C81" s="26">
        <f>IFERROR(__xludf.DUMMYFUNCTION("""COMPUTED_VALUE"""),872.0)</f>
        <v>872</v>
      </c>
      <c r="D81" s="26">
        <f>IFERROR(__xludf.DUMMYFUNCTION("""COMPUTED_VALUE"""),13.43)</f>
        <v>13.43</v>
      </c>
      <c r="E81" s="26">
        <f>IFERROR(__xludf.DUMMYFUNCTION("""COMPUTED_VALUE"""),1094.0)</f>
        <v>1094</v>
      </c>
      <c r="F81" s="28">
        <f>IFERROR(__xludf.DUMMYFUNCTION("""COMPUTED_VALUE"""),0.20292504570383912)</f>
        <v>0.2029250457</v>
      </c>
      <c r="G81" s="26">
        <f>IFERROR(__xludf.DUMMYFUNCTION("""COMPUTED_VALUE"""),729.55)</f>
        <v>729.55</v>
      </c>
      <c r="H81" s="28">
        <f>IFERROR(__xludf.DUMMYFUNCTION("""COMPUTED_VALUE"""),0.19525735042149278)</f>
        <v>0.1952573504</v>
      </c>
      <c r="I81" s="26">
        <f>IFERROR(__xludf.DUMMYFUNCTION("""COMPUTED_VALUE"""),881.85)</f>
        <v>881.85</v>
      </c>
      <c r="J81" s="28">
        <f>IFERROR(__xludf.DUMMYFUNCTION("""COMPUTED_VALUE"""),-0.01116970006236891)</f>
        <v>-0.01116970006</v>
      </c>
      <c r="K81" s="26" t="s">
        <v>292</v>
      </c>
      <c r="L81" s="26" t="s">
        <v>339</v>
      </c>
      <c r="M81" s="29" t="str">
        <f t="array" ref="M81">IF(F81&gt;30%,"YES","NO")</f>
        <v>NO</v>
      </c>
      <c r="N81" s="29" t="str">
        <f t="array" ref="N81">IF(H81&lt;30%,"YES","NO")</f>
        <v>YES</v>
      </c>
      <c r="O81" s="29" t="str">
        <f t="array" ref="O81"> if(AND(D81&lt;65,M81="NO",N81="NO"),"GOOD STOCK","")</f>
        <v/>
      </c>
      <c r="P81" s="29" t="str">
        <f t="array" ref="P81"> ifs((B81/$B$2)*100&gt;=60,"Large cap stocks",and((B81/$B$2)*100&lt;60,(B81/$B$2)*100&gt;40),"Medium cap stocks",(B81/$B$2)*100&lt;40,"Small cap stocks")</f>
        <v>Small cap stocks</v>
      </c>
    </row>
    <row r="82">
      <c r="A82" s="26" t="str">
        <f>IFERROR(__xludf.DUMMYFUNCTION("""COMPUTED_VALUE"""),"Aurobindo Pharma")</f>
        <v>Aurobindo Pharma</v>
      </c>
      <c r="B82" s="27">
        <f>IFERROR(__xludf.DUMMYFUNCTION("""COMPUTED_VALUE"""),25505.6859247)</f>
        <v>25505.68592</v>
      </c>
      <c r="C82" s="26">
        <f>IFERROR(__xludf.DUMMYFUNCTION("""COMPUTED_VALUE"""),435.3)</f>
        <v>435.3</v>
      </c>
      <c r="D82" s="26">
        <f>IFERROR(__xludf.DUMMYFUNCTION("""COMPUTED_VALUE"""),12.08)</f>
        <v>12.08</v>
      </c>
      <c r="E82" s="26">
        <f>IFERROR(__xludf.DUMMYFUNCTION("""COMPUTED_VALUE"""),727.95)</f>
        <v>727.95</v>
      </c>
      <c r="F82" s="28">
        <f>IFERROR(__xludf.DUMMYFUNCTION("""COMPUTED_VALUE"""),0.40201936946218836)</f>
        <v>0.4020193695</v>
      </c>
      <c r="G82" s="26">
        <f>IFERROR(__xludf.DUMMYFUNCTION("""COMPUTED_VALUE"""),429.2)</f>
        <v>429.2</v>
      </c>
      <c r="H82" s="28">
        <f>IFERROR(__xludf.DUMMYFUNCTION("""COMPUTED_VALUE"""),0.014212488350419439)</f>
        <v>0.01421248835</v>
      </c>
      <c r="I82" s="26">
        <f>IFERROR(__xludf.DUMMYFUNCTION("""COMPUTED_VALUE"""),446.35)</f>
        <v>446.35</v>
      </c>
      <c r="J82" s="28">
        <f>IFERROR(__xludf.DUMMYFUNCTION("""COMPUTED_VALUE"""),-0.02475635711885294)</f>
        <v>-0.02475635712</v>
      </c>
      <c r="K82" s="26" t="s">
        <v>254</v>
      </c>
      <c r="L82" s="26" t="s">
        <v>340</v>
      </c>
      <c r="M82" s="29" t="str">
        <f t="array" ref="M82">IF(F82&gt;30%,"YES","NO")</f>
        <v>YES</v>
      </c>
      <c r="N82" s="29" t="str">
        <f t="array" ref="N82">IF(H82&lt;30%,"YES","NO")</f>
        <v>YES</v>
      </c>
      <c r="O82" s="29" t="str">
        <f t="array" ref="O82"> if(AND(D82&lt;65,M82="NO",N82="NO"),"GOOD STOCK","")</f>
        <v/>
      </c>
      <c r="P82" s="29" t="str">
        <f t="array" ref="P82"> ifs((B82/$B$2)*100&gt;=60,"Large cap stocks",and((B82/$B$2)*100&lt;60,(B82/$B$2)*100&gt;40),"Medium cap stocks",(B82/$B$2)*100&lt;40,"Small cap stocks")</f>
        <v>Small cap stocks</v>
      </c>
    </row>
    <row r="83">
      <c r="A83" s="26" t="str">
        <f>IFERROR(__xludf.DUMMYFUNCTION("""COMPUTED_VALUE"""),"3M India")</f>
        <v>3M India</v>
      </c>
      <c r="B83" s="27">
        <f>IFERROR(__xludf.DUMMYFUNCTION("""COMPUTED_VALUE"""),25229.93)</f>
        <v>25229.93</v>
      </c>
      <c r="C83" s="26">
        <f>IFERROR(__xludf.DUMMYFUNCTION("""COMPUTED_VALUE"""),22300.0)</f>
        <v>22300</v>
      </c>
      <c r="D83" s="26">
        <f>IFERROR(__xludf.DUMMYFUNCTION("""COMPUTED_VALUE"""),68.24)</f>
        <v>68.24</v>
      </c>
      <c r="E83" s="26">
        <f>IFERROR(__xludf.DUMMYFUNCTION("""COMPUTED_VALUE"""),26943.0)</f>
        <v>26943</v>
      </c>
      <c r="F83" s="28">
        <f>IFERROR(__xludf.DUMMYFUNCTION("""COMPUTED_VALUE"""),0.17232676390899307)</f>
        <v>0.1723267639</v>
      </c>
      <c r="G83" s="26">
        <f>IFERROR(__xludf.DUMMYFUNCTION("""COMPUTED_VALUE"""),17273.0)</f>
        <v>17273</v>
      </c>
      <c r="H83" s="28">
        <f>IFERROR(__xludf.DUMMYFUNCTION("""COMPUTED_VALUE"""),0.2910322468592601)</f>
        <v>0.2910322469</v>
      </c>
      <c r="I83" s="26">
        <f>IFERROR(__xludf.DUMMYFUNCTION("""COMPUTED_VALUE"""),22335.4)</f>
        <v>22335.4</v>
      </c>
      <c r="J83" s="28">
        <f>IFERROR(__xludf.DUMMYFUNCTION("""COMPUTED_VALUE"""),-0.0015849279618901588)</f>
        <v>-0.001584927962</v>
      </c>
      <c r="K83" s="26" t="s">
        <v>298</v>
      </c>
      <c r="L83" s="26" t="s">
        <v>341</v>
      </c>
      <c r="M83" s="29" t="str">
        <f t="array" ref="M83">IF(F83&gt;30%,"YES","NO")</f>
        <v>NO</v>
      </c>
      <c r="N83" s="29" t="str">
        <f t="array" ref="N83">IF(H83&lt;30%,"YES","NO")</f>
        <v>YES</v>
      </c>
      <c r="O83" s="29" t="str">
        <f t="array" ref="O83"> if(AND(D83&lt;65,M83="NO",N83="NO"),"GOOD STOCK","")</f>
        <v/>
      </c>
      <c r="P83" s="29" t="str">
        <f t="array" ref="P83"> ifs((B83/$B$2)*100&gt;=60,"Large cap stocks",and((B83/$B$2)*100&lt;60,(B83/$B$2)*100&gt;40),"Medium cap stocks",(B83/$B$2)*100&lt;40,"Small cap stocks")</f>
        <v>Small cap stocks</v>
      </c>
    </row>
    <row r="84">
      <c r="A84" s="26" t="str">
        <f>IFERROR(__xludf.DUMMYFUNCTION("""COMPUTED_VALUE"""),"sona comstar")</f>
        <v>sona comstar</v>
      </c>
      <c r="B84" s="27">
        <f>IFERROR(__xludf.DUMMYFUNCTION("""COMPUTED_VALUE"""),24962.9162175)</f>
        <v>24962.91622</v>
      </c>
      <c r="C84" s="26">
        <f>IFERROR(__xludf.DUMMYFUNCTION("""COMPUTED_VALUE"""),426.0)</f>
        <v>426</v>
      </c>
      <c r="D84" s="26">
        <f>IFERROR(__xludf.DUMMYFUNCTION("""COMPUTED_VALUE"""),69.24)</f>
        <v>69.24</v>
      </c>
      <c r="E84" s="26">
        <f>IFERROR(__xludf.DUMMYFUNCTION("""COMPUTED_VALUE"""),795.0)</f>
        <v>795</v>
      </c>
      <c r="F84" s="28">
        <f>IFERROR(__xludf.DUMMYFUNCTION("""COMPUTED_VALUE"""),0.4641509433962264)</f>
        <v>0.4641509434</v>
      </c>
      <c r="G84" s="26">
        <f>IFERROR(__xludf.DUMMYFUNCTION("""COMPUTED_VALUE"""),397.35)</f>
        <v>397.35</v>
      </c>
      <c r="H84" s="28">
        <f>IFERROR(__xludf.DUMMYFUNCTION("""COMPUTED_VALUE"""),0.07210268025670058)</f>
        <v>0.07210268026</v>
      </c>
      <c r="I84" s="26">
        <f>IFERROR(__xludf.DUMMYFUNCTION("""COMPUTED_VALUE"""),428.65)</f>
        <v>428.65</v>
      </c>
      <c r="J84" s="28">
        <f>IFERROR(__xludf.DUMMYFUNCTION("""COMPUTED_VALUE"""),-0.006182199930012778)</f>
        <v>-0.00618219993</v>
      </c>
      <c r="K84" s="26" t="s">
        <v>342</v>
      </c>
      <c r="L84" s="26" t="s">
        <v>343</v>
      </c>
      <c r="M84" s="29" t="str">
        <f t="array" ref="M84">IF(F84&gt;30%,"YES","NO")</f>
        <v>YES</v>
      </c>
      <c r="N84" s="29" t="str">
        <f t="array" ref="N84">IF(H84&lt;30%,"YES","NO")</f>
        <v>YES</v>
      </c>
      <c r="O84" s="29" t="str">
        <f t="array" ref="O84"> if(AND(D84&lt;65,M84="NO",N84="NO"),"GOOD STOCK","")</f>
        <v/>
      </c>
      <c r="P84" s="29" t="str">
        <f t="array" ref="P84"> ifs((B84/$B$2)*100&gt;=60,"Large cap stocks",and((B84/$B$2)*100&lt;60,(B84/$B$2)*100&gt;40),"Medium cap stocks",(B84/$B$2)*100&lt;40,"Small cap stocks")</f>
        <v>Small cap stocks</v>
      </c>
    </row>
    <row r="85">
      <c r="A85" s="26" t="str">
        <f>IFERROR(__xludf.DUMMYFUNCTION("""COMPUTED_VALUE"""),"Tata Chemical")</f>
        <v>Tata Chemical</v>
      </c>
      <c r="B85" s="27">
        <f>IFERROR(__xludf.DUMMYFUNCTION("""COMPUTED_VALUE"""),24851.46731)</f>
        <v>24851.46731</v>
      </c>
      <c r="C85" s="26">
        <f>IFERROR(__xludf.DUMMYFUNCTION("""COMPUTED_VALUE"""),975.8)</f>
        <v>975.8</v>
      </c>
      <c r="D85" s="26">
        <f>IFERROR(__xludf.DUMMYFUNCTION("""COMPUTED_VALUE"""),12.65)</f>
        <v>12.65</v>
      </c>
      <c r="E85" s="26">
        <f>IFERROR(__xludf.DUMMYFUNCTION("""COMPUTED_VALUE"""),1214.65)</f>
        <v>1214.65</v>
      </c>
      <c r="F85" s="28">
        <f>IFERROR(__xludf.DUMMYFUNCTION("""COMPUTED_VALUE"""),0.1966410076976908)</f>
        <v>0.1966410077</v>
      </c>
      <c r="G85" s="26">
        <f>IFERROR(__xludf.DUMMYFUNCTION("""COMPUTED_VALUE"""),773.9)</f>
        <v>773.9</v>
      </c>
      <c r="H85" s="28">
        <f>IFERROR(__xludf.DUMMYFUNCTION("""COMPUTED_VALUE"""),0.2608864194340354)</f>
        <v>0.2608864194</v>
      </c>
      <c r="I85" s="26">
        <f>IFERROR(__xludf.DUMMYFUNCTION("""COMPUTED_VALUE"""),972.55)</f>
        <v>972.55</v>
      </c>
      <c r="J85" s="28">
        <f>IFERROR(__xludf.DUMMYFUNCTION("""COMPUTED_VALUE"""),0.0033417305022878)</f>
        <v>0.003341730502</v>
      </c>
      <c r="K85" s="26" t="s">
        <v>265</v>
      </c>
      <c r="L85" s="26" t="s">
        <v>344</v>
      </c>
      <c r="M85" s="29" t="str">
        <f t="array" ref="M85">IF(F85&gt;30%,"YES","NO")</f>
        <v>NO</v>
      </c>
      <c r="N85" s="29" t="str">
        <f t="array" ref="N85">IF(H85&lt;30%,"YES","NO")</f>
        <v>YES</v>
      </c>
      <c r="O85" s="29" t="str">
        <f t="array" ref="O85"> if(AND(D85&lt;65,M85="NO",N85="NO"),"GOOD STOCK","")</f>
        <v/>
      </c>
      <c r="P85" s="29" t="str">
        <f t="array" ref="P85"> ifs((B85/$B$2)*100&gt;=60,"Large cap stocks",and((B85/$B$2)*100&lt;60,(B85/$B$2)*100&gt;40),"Medium cap stocks",(B85/$B$2)*100&lt;40,"Small cap stocks")</f>
        <v>Small cap stocks</v>
      </c>
    </row>
    <row r="86">
      <c r="A86" s="26" t="str">
        <f>IFERROR(__xludf.DUMMYFUNCTION("""COMPUTED_VALUE"""),"Sumitomo Chemicals")</f>
        <v>Sumitomo Chemicals</v>
      </c>
      <c r="B86" s="27">
        <f>IFERROR(__xludf.DUMMYFUNCTION("""COMPUTED_VALUE"""),24637.83)</f>
        <v>24637.83</v>
      </c>
      <c r="C86" s="26">
        <f>IFERROR(__xludf.DUMMYFUNCTION("""COMPUTED_VALUE"""),493.2)</f>
        <v>493.2</v>
      </c>
      <c r="D86" s="26">
        <f>IFERROR(__xludf.DUMMYFUNCTION("""COMPUTED_VALUE"""),48.9)</f>
        <v>48.9</v>
      </c>
      <c r="E86" s="26">
        <f>IFERROR(__xludf.DUMMYFUNCTION("""COMPUTED_VALUE"""),540.8)</f>
        <v>540.8</v>
      </c>
      <c r="F86" s="28">
        <f>IFERROR(__xludf.DUMMYFUNCTION("""COMPUTED_VALUE"""),0.08801775147928989)</f>
        <v>0.08801775148</v>
      </c>
      <c r="G86" s="26">
        <f>IFERROR(__xludf.DUMMYFUNCTION("""COMPUTED_VALUE"""),351.5)</f>
        <v>351.5</v>
      </c>
      <c r="H86" s="28">
        <f>IFERROR(__xludf.DUMMYFUNCTION("""COMPUTED_VALUE"""),0.40312944523470834)</f>
        <v>0.4031294452</v>
      </c>
      <c r="I86" s="26">
        <f>IFERROR(__xludf.DUMMYFUNCTION("""COMPUTED_VALUE"""),487.95)</f>
        <v>487.95</v>
      </c>
      <c r="J86" s="28">
        <f>IFERROR(__xludf.DUMMYFUNCTION("""COMPUTED_VALUE"""),0.010759299108515218)</f>
        <v>0.01075929911</v>
      </c>
      <c r="K86" s="26" t="s">
        <v>292</v>
      </c>
      <c r="L86" s="26" t="s">
        <v>345</v>
      </c>
      <c r="M86" s="29" t="str">
        <f t="array" ref="M86">IF(F86&gt;30%,"YES","NO")</f>
        <v>NO</v>
      </c>
      <c r="N86" s="29" t="str">
        <f t="array" ref="N86">IF(H86&lt;30%,"YES","NO")</f>
        <v>NO</v>
      </c>
      <c r="O86" s="29" t="str">
        <f t="array" ref="O86"> if(AND(D86&lt;65,M86="NO",N86="NO"),"GOOD STOCK","")</f>
        <v>GOOD STOCK</v>
      </c>
      <c r="P86" s="29" t="str">
        <f t="array" ref="P86"> ifs((B86/$B$2)*100&gt;=60,"Large cap stocks",and((B86/$B$2)*100&lt;60,(B86/$B$2)*100&gt;40),"Medium cap stocks",(B86/$B$2)*100&lt;40,"Small cap stocks")</f>
        <v>Small cap stocks</v>
      </c>
    </row>
    <row r="87">
      <c r="A87" s="26" t="str">
        <f>IFERROR(__xludf.DUMMYFUNCTION("""COMPUTED_VALUE"""),"Gland Pharma")</f>
        <v>Gland Pharma</v>
      </c>
      <c r="B87" s="27">
        <f>IFERROR(__xludf.DUMMYFUNCTION("""COMPUTED_VALUE"""),23948.9713712)</f>
        <v>23948.97137</v>
      </c>
      <c r="C87" s="26">
        <f>IFERROR(__xludf.DUMMYFUNCTION("""COMPUTED_VALUE"""),1453.65)</f>
        <v>1453.65</v>
      </c>
      <c r="D87" s="26">
        <f>IFERROR(__xludf.DUMMYFUNCTION("""COMPUTED_VALUE"""),23.28)</f>
        <v>23.28</v>
      </c>
      <c r="E87" s="26">
        <f>IFERROR(__xludf.DUMMYFUNCTION("""COMPUTED_VALUE"""),3773.95)</f>
        <v>3773.95</v>
      </c>
      <c r="F87" s="28">
        <f>IFERROR(__xludf.DUMMYFUNCTION("""COMPUTED_VALUE"""),0.6148200161634362)</f>
        <v>0.6148200162</v>
      </c>
      <c r="G87" s="26">
        <f>IFERROR(__xludf.DUMMYFUNCTION("""COMPUTED_VALUE"""),1450.0)</f>
        <v>1450</v>
      </c>
      <c r="H87" s="28">
        <f>IFERROR(__xludf.DUMMYFUNCTION("""COMPUTED_VALUE"""),0.0025172413793104077)</f>
        <v>0.002517241379</v>
      </c>
      <c r="I87" s="26">
        <f>IFERROR(__xludf.DUMMYFUNCTION("""COMPUTED_VALUE"""),1497.85)</f>
        <v>1497.85</v>
      </c>
      <c r="J87" s="28">
        <f>IFERROR(__xludf.DUMMYFUNCTION("""COMPUTED_VALUE"""),-0.029508962846746884)</f>
        <v>-0.02950896285</v>
      </c>
      <c r="K87" s="26" t="s">
        <v>254</v>
      </c>
      <c r="L87" s="26" t="s">
        <v>346</v>
      </c>
      <c r="M87" s="29" t="str">
        <f t="array" ref="M87">IF(F87&gt;30%,"YES","NO")</f>
        <v>YES</v>
      </c>
      <c r="N87" s="29" t="str">
        <f t="array" ref="N87">IF(H87&lt;30%,"YES","NO")</f>
        <v>YES</v>
      </c>
      <c r="O87" s="29" t="str">
        <f t="array" ref="O87"> if(AND(D87&lt;65,M87="NO",N87="NO"),"GOOD STOCK","")</f>
        <v/>
      </c>
      <c r="P87" s="29" t="str">
        <f t="array" ref="P87"> ifs((B87/$B$2)*100&gt;=60,"Large cap stocks",and((B87/$B$2)*100&lt;60,(B87/$B$2)*100&gt;40),"Medium cap stocks",(B87/$B$2)*100&lt;40,"Small cap stocks")</f>
        <v>Small cap stocks</v>
      </c>
    </row>
    <row r="88">
      <c r="A88" s="26" t="str">
        <f>IFERROR(__xludf.DUMMYFUNCTION("""COMPUTED_VALUE"""),"Coforge")</f>
        <v>Coforge</v>
      </c>
      <c r="B88" s="27">
        <f>IFERROR(__xludf.DUMMYFUNCTION("""COMPUTED_VALUE"""),23631.8479052)</f>
        <v>23631.84791</v>
      </c>
      <c r="C88" s="26">
        <f>IFERROR(__xludf.DUMMYFUNCTION("""COMPUTED_VALUE"""),3868.05)</f>
        <v>3868.05</v>
      </c>
      <c r="D88" s="26">
        <f>IFERROR(__xludf.DUMMYFUNCTION("""COMPUTED_VALUE"""),32.39)</f>
        <v>32.39</v>
      </c>
      <c r="E88" s="26">
        <f>IFERROR(__xludf.DUMMYFUNCTION("""COMPUTED_VALUE"""),5862.1)</f>
        <v>5862.1</v>
      </c>
      <c r="F88" s="28">
        <f>IFERROR(__xludf.DUMMYFUNCTION("""COMPUTED_VALUE"""),0.3401596697429249)</f>
        <v>0.3401596697</v>
      </c>
      <c r="G88" s="26">
        <f>IFERROR(__xludf.DUMMYFUNCTION("""COMPUTED_VALUE"""),3210.0)</f>
        <v>3210</v>
      </c>
      <c r="H88" s="28">
        <f>IFERROR(__xludf.DUMMYFUNCTION("""COMPUTED_VALUE"""),0.20500000000000004)</f>
        <v>0.205</v>
      </c>
      <c r="I88" s="26">
        <f>IFERROR(__xludf.DUMMYFUNCTION("""COMPUTED_VALUE"""),3902.65)</f>
        <v>3902.65</v>
      </c>
      <c r="J88" s="28">
        <f>IFERROR(__xludf.DUMMYFUNCTION("""COMPUTED_VALUE"""),-0.008865770694271817)</f>
        <v>-0.008865770694</v>
      </c>
      <c r="K88" s="26" t="s">
        <v>298</v>
      </c>
      <c r="L88" s="26" t="s">
        <v>347</v>
      </c>
      <c r="M88" s="29" t="str">
        <f t="array" ref="M88">IF(F88&gt;30%,"YES","NO")</f>
        <v>YES</v>
      </c>
      <c r="N88" s="29" t="str">
        <f t="array" ref="N88">IF(H88&lt;30%,"YES","NO")</f>
        <v>YES</v>
      </c>
      <c r="O88" s="29" t="str">
        <f t="array" ref="O88"> if(AND(D88&lt;65,M88="NO",N88="NO"),"GOOD STOCK","")</f>
        <v/>
      </c>
      <c r="P88" s="29" t="str">
        <f t="array" ref="P88"> ifs((B88/$B$2)*100&gt;=60,"Large cap stocks",and((B88/$B$2)*100&lt;60,(B88/$B$2)*100&gt;40),"Medium cap stocks",(B88/$B$2)*100&lt;40,"Small cap stocks")</f>
        <v>Small cap stocks</v>
      </c>
    </row>
    <row r="89">
      <c r="A89" s="26" t="str">
        <f>IFERROR(__xludf.DUMMYFUNCTION("""COMPUTED_VALUE"""),"Atul Ltd")</f>
        <v>Atul Ltd</v>
      </c>
      <c r="B89" s="27">
        <f>IFERROR(__xludf.DUMMYFUNCTION("""COMPUTED_VALUE"""),22715.5217056)</f>
        <v>22715.52171</v>
      </c>
      <c r="C89" s="26">
        <f>IFERROR(__xludf.DUMMYFUNCTION("""COMPUTED_VALUE"""),7701.2)</f>
        <v>7701.2</v>
      </c>
      <c r="D89" s="26">
        <f>IFERROR(__xludf.DUMMYFUNCTION("""COMPUTED_VALUE"""),37.5)</f>
        <v>37.5</v>
      </c>
      <c r="E89" s="26">
        <f>IFERROR(__xludf.DUMMYFUNCTION("""COMPUTED_VALUE"""),10859.0)</f>
        <v>10859</v>
      </c>
      <c r="F89" s="28">
        <f>IFERROR(__xludf.DUMMYFUNCTION("""COMPUTED_VALUE"""),0.29080025785063085)</f>
        <v>0.2908002579</v>
      </c>
      <c r="G89" s="26">
        <f>IFERROR(__xludf.DUMMYFUNCTION("""COMPUTED_VALUE"""),7602.15)</f>
        <v>7602.15</v>
      </c>
      <c r="H89" s="28">
        <f>IFERROR(__xludf.DUMMYFUNCTION("""COMPUTED_VALUE"""),0.013029208842235445)</f>
        <v>0.01302920884</v>
      </c>
      <c r="I89" s="26">
        <f>IFERROR(__xludf.DUMMYFUNCTION("""COMPUTED_VALUE"""),7679.85)</f>
        <v>7679.85</v>
      </c>
      <c r="J89" s="28">
        <f>IFERROR(__xludf.DUMMYFUNCTION("""COMPUTED_VALUE"""),0.0027800022135848297)</f>
        <v>0.002780002214</v>
      </c>
      <c r="K89" s="26" t="s">
        <v>265</v>
      </c>
      <c r="L89" s="26" t="s">
        <v>348</v>
      </c>
      <c r="M89" s="29" t="str">
        <f t="array" ref="M89">IF(F89&gt;30%,"YES","NO")</f>
        <v>NO</v>
      </c>
      <c r="N89" s="29" t="str">
        <f t="array" ref="N89">IF(H89&lt;30%,"YES","NO")</f>
        <v>YES</v>
      </c>
      <c r="O89" s="29" t="str">
        <f t="array" ref="O89"> if(AND(D89&lt;65,M89="NO",N89="NO"),"GOOD STOCK","")</f>
        <v/>
      </c>
      <c r="P89" s="29" t="str">
        <f t="array" ref="P89"> ifs((B89/$B$2)*100&gt;=60,"Large cap stocks",and((B89/$B$2)*100&lt;60,(B89/$B$2)*100&gt;40),"Medium cap stocks",(B89/$B$2)*100&lt;40,"Small cap stocks")</f>
        <v>Small cap stocks</v>
      </c>
    </row>
    <row r="90">
      <c r="A90" s="26" t="str">
        <f>IFERROR(__xludf.DUMMYFUNCTION("""COMPUTED_VALUE"""),"J K Cement")</f>
        <v>J K Cement</v>
      </c>
      <c r="B90" s="27">
        <f>IFERROR(__xludf.DUMMYFUNCTION("""COMPUTED_VALUE"""),22430.59)</f>
        <v>22430.59</v>
      </c>
      <c r="C90" s="26">
        <f>IFERROR(__xludf.DUMMYFUNCTION("""COMPUTED_VALUE"""),2900.45)</f>
        <v>2900.45</v>
      </c>
      <c r="D90" s="26">
        <f>IFERROR(__xludf.DUMMYFUNCTION("""COMPUTED_VALUE"""),36.07)</f>
        <v>36.07</v>
      </c>
      <c r="E90" s="26">
        <f>IFERROR(__xludf.DUMMYFUNCTION("""COMPUTED_VALUE"""),3646.25)</f>
        <v>3646.25</v>
      </c>
      <c r="F90" s="28">
        <f>IFERROR(__xludf.DUMMYFUNCTION("""COMPUTED_VALUE"""),0.2045389098388756)</f>
        <v>0.2045389098</v>
      </c>
      <c r="G90" s="26">
        <f>IFERROR(__xludf.DUMMYFUNCTION("""COMPUTED_VALUE"""),2005.0)</f>
        <v>2005</v>
      </c>
      <c r="H90" s="28">
        <f>IFERROR(__xludf.DUMMYFUNCTION("""COMPUTED_VALUE"""),0.4466084788029924)</f>
        <v>0.4466084788</v>
      </c>
      <c r="I90" s="26">
        <f>IFERROR(__xludf.DUMMYFUNCTION("""COMPUTED_VALUE"""),2905.9)</f>
        <v>2905.9</v>
      </c>
      <c r="J90" s="28">
        <f>IFERROR(__xludf.DUMMYFUNCTION("""COMPUTED_VALUE"""),-0.0018754946832307625)</f>
        <v>-0.001875494683</v>
      </c>
      <c r="K90" s="26" t="s">
        <v>259</v>
      </c>
      <c r="L90" s="26" t="s">
        <v>349</v>
      </c>
      <c r="M90" s="29" t="str">
        <f t="array" ref="M90">IF(F90&gt;30%,"YES","NO")</f>
        <v>NO</v>
      </c>
      <c r="N90" s="29" t="str">
        <f t="array" ref="N90">IF(H90&lt;30%,"YES","NO")</f>
        <v>NO</v>
      </c>
      <c r="O90" s="29" t="str">
        <f t="array" ref="O90"> if(AND(D90&lt;65,M90="NO",N90="NO"),"GOOD STOCK","")</f>
        <v>GOOD STOCK</v>
      </c>
      <c r="P90" s="29" t="str">
        <f t="array" ref="P90"> ifs((B90/$B$2)*100&gt;=60,"Large cap stocks",and((B90/$B$2)*100&lt;60,(B90/$B$2)*100&gt;40),"Medium cap stocks",(B90/$B$2)*100&lt;40,"Small cap stocks")</f>
        <v>Small cap stocks</v>
      </c>
    </row>
    <row r="91">
      <c r="A91" s="26" t="str">
        <f>IFERROR(__xludf.DUMMYFUNCTION("""COMPUTED_VALUE"""),"Kansai Nerolac")</f>
        <v>Kansai Nerolac</v>
      </c>
      <c r="B91" s="27">
        <f>IFERROR(__xludf.DUMMYFUNCTION("""COMPUTED_VALUE"""),22276.241535)</f>
        <v>22276.24154</v>
      </c>
      <c r="C91" s="26">
        <f>IFERROR(__xludf.DUMMYFUNCTION("""COMPUTED_VALUE"""),415.0)</f>
        <v>415</v>
      </c>
      <c r="D91" s="26">
        <f>IFERROR(__xludf.DUMMYFUNCTION("""COMPUTED_VALUE"""),52.87)</f>
        <v>52.87</v>
      </c>
      <c r="E91" s="26">
        <f>IFERROR(__xludf.DUMMYFUNCTION("""COMPUTED_VALUE"""),624.0)</f>
        <v>624</v>
      </c>
      <c r="F91" s="28">
        <f>IFERROR(__xludf.DUMMYFUNCTION("""COMPUTED_VALUE"""),0.3349358974358974)</f>
        <v>0.3349358974</v>
      </c>
      <c r="G91" s="26">
        <f>IFERROR(__xludf.DUMMYFUNCTION("""COMPUTED_VALUE"""),358.15)</f>
        <v>358.15</v>
      </c>
      <c r="H91" s="28">
        <f>IFERROR(__xludf.DUMMYFUNCTION("""COMPUTED_VALUE"""),0.15873237470333668)</f>
        <v>0.1587323747</v>
      </c>
      <c r="I91" s="26">
        <f>IFERROR(__xludf.DUMMYFUNCTION("""COMPUTED_VALUE"""),413.05)</f>
        <v>413.05</v>
      </c>
      <c r="J91" s="28">
        <f>IFERROR(__xludf.DUMMYFUNCTION("""COMPUTED_VALUE"""),0.004720978089819606)</f>
        <v>0.00472097809</v>
      </c>
      <c r="K91" s="26" t="s">
        <v>250</v>
      </c>
      <c r="L91" s="26" t="s">
        <v>350</v>
      </c>
      <c r="M91" s="29" t="str">
        <f t="array" ref="M91">IF(F91&gt;30%,"YES","NO")</f>
        <v>YES</v>
      </c>
      <c r="N91" s="29" t="str">
        <f t="array" ref="N91">IF(H91&lt;30%,"YES","NO")</f>
        <v>YES</v>
      </c>
      <c r="O91" s="29" t="str">
        <f t="array" ref="O91"> if(AND(D91&lt;65,M91="NO",N91="NO"),"GOOD STOCK","")</f>
        <v/>
      </c>
      <c r="P91" s="29" t="str">
        <f t="array" ref="P91"> ifs((B91/$B$2)*100&gt;=60,"Large cap stocks",and((B91/$B$2)*100&lt;60,(B91/$B$2)*100&gt;40),"Medium cap stocks",(B91/$B$2)*100&lt;40,"Small cap stocks")</f>
        <v>Small cap stocks</v>
      </c>
    </row>
    <row r="92">
      <c r="A92" s="26" t="str">
        <f>IFERROR(__xludf.DUMMYFUNCTION("""COMPUTED_VALUE"""),"Crisil")</f>
        <v>Crisil</v>
      </c>
      <c r="B92" s="27">
        <f>IFERROR(__xludf.DUMMYFUNCTION("""COMPUTED_VALUE"""),22166.9)</f>
        <v>22166.9</v>
      </c>
      <c r="C92" s="26">
        <f>IFERROR(__xludf.DUMMYFUNCTION("""COMPUTED_VALUE"""),3020.0)</f>
        <v>3020</v>
      </c>
      <c r="D92" s="26">
        <f>IFERROR(__xludf.DUMMYFUNCTION("""COMPUTED_VALUE"""),38.36)</f>
        <v>38.36</v>
      </c>
      <c r="E92" s="26">
        <f>IFERROR(__xludf.DUMMYFUNCTION("""COMPUTED_VALUE"""),3863.55)</f>
        <v>3863.55</v>
      </c>
      <c r="F92" s="28">
        <f>IFERROR(__xludf.DUMMYFUNCTION("""COMPUTED_VALUE"""),0.2183354686751822)</f>
        <v>0.2183354687</v>
      </c>
      <c r="G92" s="26">
        <f>IFERROR(__xludf.DUMMYFUNCTION("""COMPUTED_VALUE"""),2540.0)</f>
        <v>2540</v>
      </c>
      <c r="H92" s="28">
        <f>IFERROR(__xludf.DUMMYFUNCTION("""COMPUTED_VALUE"""),0.1889763779527559)</f>
        <v>0.188976378</v>
      </c>
      <c r="I92" s="26">
        <f>IFERROR(__xludf.DUMMYFUNCTION("""COMPUTED_VALUE"""),3044.5)</f>
        <v>3044.5</v>
      </c>
      <c r="J92" s="28">
        <f>IFERROR(__xludf.DUMMYFUNCTION("""COMPUTED_VALUE"""),-0.008047298406963376)</f>
        <v>-0.008047298407</v>
      </c>
      <c r="K92" s="26" t="s">
        <v>351</v>
      </c>
      <c r="L92" s="26" t="s">
        <v>352</v>
      </c>
      <c r="M92" s="29" t="str">
        <f t="array" ref="M92">IF(F92&gt;30%,"YES","NO")</f>
        <v>NO</v>
      </c>
      <c r="N92" s="29" t="str">
        <f t="array" ref="N92">IF(H92&lt;30%,"YES","NO")</f>
        <v>YES</v>
      </c>
      <c r="O92" s="29" t="str">
        <f t="array" ref="O92"> if(AND(D92&lt;65,M92="NO",N92="NO"),"GOOD STOCK","")</f>
        <v/>
      </c>
      <c r="P92" s="29" t="str">
        <f t="array" ref="P92"> ifs((B92/$B$2)*100&gt;=60,"Large cap stocks",and((B92/$B$2)*100&lt;60,(B92/$B$2)*100&gt;40),"Medium cap stocks",(B92/$B$2)*100&lt;40,"Small cap stocks")</f>
        <v>Small cap stocks</v>
      </c>
    </row>
    <row r="93">
      <c r="A93" s="26" t="str">
        <f>IFERROR(__xludf.DUMMYFUNCTION("""COMPUTED_VALUE"""),"LIC Housing Finance")</f>
        <v>LIC Housing Finance</v>
      </c>
      <c r="B93" s="27">
        <f>IFERROR(__xludf.DUMMYFUNCTION("""COMPUTED_VALUE"""),22159.2659823)</f>
        <v>22159.26598</v>
      </c>
      <c r="C93" s="26">
        <f>IFERROR(__xludf.DUMMYFUNCTION("""COMPUTED_VALUE"""),402.9)</f>
        <v>402.9</v>
      </c>
      <c r="D93" s="26">
        <f>IFERROR(__xludf.DUMMYFUNCTION("""COMPUTED_VALUE"""),6.85)</f>
        <v>6.85</v>
      </c>
      <c r="E93" s="26">
        <f>IFERROR(__xludf.DUMMYFUNCTION("""COMPUTED_VALUE"""),443.5)</f>
        <v>443.5</v>
      </c>
      <c r="F93" s="28">
        <f>IFERROR(__xludf.DUMMYFUNCTION("""COMPUTED_VALUE"""),0.09154453213077796)</f>
        <v>0.09154453213</v>
      </c>
      <c r="G93" s="26">
        <f>IFERROR(__xludf.DUMMYFUNCTION("""COMPUTED_VALUE"""),291.75)</f>
        <v>291.75</v>
      </c>
      <c r="H93" s="28">
        <f>IFERROR(__xludf.DUMMYFUNCTION("""COMPUTED_VALUE"""),0.38097686375321327)</f>
        <v>0.3809768638</v>
      </c>
      <c r="I93" s="26">
        <f>IFERROR(__xludf.DUMMYFUNCTION("""COMPUTED_VALUE"""),400.2)</f>
        <v>400.2</v>
      </c>
      <c r="J93" s="28">
        <f>IFERROR(__xludf.DUMMYFUNCTION("""COMPUTED_VALUE"""),0.006746626686656643)</f>
        <v>0.006746626687</v>
      </c>
      <c r="K93" s="26" t="s">
        <v>244</v>
      </c>
      <c r="L93" s="26" t="s">
        <v>353</v>
      </c>
      <c r="M93" s="29" t="str">
        <f t="array" ref="M93">IF(F93&gt;30%,"YES","NO")</f>
        <v>NO</v>
      </c>
      <c r="N93" s="29" t="str">
        <f t="array" ref="N93">IF(H93&lt;30%,"YES","NO")</f>
        <v>NO</v>
      </c>
      <c r="O93" s="29" t="str">
        <f t="array" ref="O93"> if(AND(D93&lt;65,M93="NO",N93="NO"),"GOOD STOCK","")</f>
        <v>GOOD STOCK</v>
      </c>
      <c r="P93" s="29" t="str">
        <f t="array" ref="P93"> ifs((B93/$B$2)*100&gt;=60,"Large cap stocks",and((B93/$B$2)*100&lt;60,(B93/$B$2)*100&gt;40),"Medium cap stocks",(B93/$B$2)*100&lt;40,"Small cap stocks")</f>
        <v>Small cap stocks</v>
      </c>
    </row>
    <row r="94">
      <c r="A94" s="26" t="str">
        <f>IFERROR(__xludf.DUMMYFUNCTION("""COMPUTED_VALUE"""),"IPCA Lab")</f>
        <v>IPCA Lab</v>
      </c>
      <c r="B94" s="27">
        <f>IFERROR(__xludf.DUMMYFUNCTION("""COMPUTED_VALUE"""),22090.03)</f>
        <v>22090.03</v>
      </c>
      <c r="C94" s="26">
        <f>IFERROR(__xludf.DUMMYFUNCTION("""COMPUTED_VALUE"""),872.85)</f>
        <v>872.85</v>
      </c>
      <c r="D94" s="26">
        <f>IFERROR(__xludf.DUMMYFUNCTION("""COMPUTED_VALUE"""),42.96)</f>
        <v>42.96</v>
      </c>
      <c r="E94" s="26">
        <f>IFERROR(__xludf.DUMMYFUNCTION("""COMPUTED_VALUE"""),1095.0)</f>
        <v>1095</v>
      </c>
      <c r="F94" s="28">
        <f>IFERROR(__xludf.DUMMYFUNCTION("""COMPUTED_VALUE"""),0.2028767123287671)</f>
        <v>0.2028767123</v>
      </c>
      <c r="G94" s="26">
        <f>IFERROR(__xludf.DUMMYFUNCTION("""COMPUTED_VALUE"""),830.0)</f>
        <v>830</v>
      </c>
      <c r="H94" s="28">
        <f>IFERROR(__xludf.DUMMYFUNCTION("""COMPUTED_VALUE"""),0.051626506024096415)</f>
        <v>0.05162650602</v>
      </c>
      <c r="I94" s="26">
        <f>IFERROR(__xludf.DUMMYFUNCTION("""COMPUTED_VALUE"""),868.6)</f>
        <v>868.6</v>
      </c>
      <c r="J94" s="28">
        <f>IFERROR(__xludf.DUMMYFUNCTION("""COMPUTED_VALUE"""),0.004892931153580474)</f>
        <v>0.004892931154</v>
      </c>
      <c r="K94" s="26" t="s">
        <v>254</v>
      </c>
      <c r="L94" s="26" t="s">
        <v>354</v>
      </c>
      <c r="M94" s="29" t="str">
        <f t="array" ref="M94">IF(F94&gt;30%,"YES","NO")</f>
        <v>NO</v>
      </c>
      <c r="N94" s="29" t="str">
        <f t="array" ref="N94">IF(H94&lt;30%,"YES","NO")</f>
        <v>YES</v>
      </c>
      <c r="O94" s="29" t="str">
        <f t="array" ref="O94"> if(AND(D94&lt;65,M94="NO",N94="NO"),"GOOD STOCK","")</f>
        <v/>
      </c>
      <c r="P94" s="29" t="str">
        <f t="array" ref="P94"> ifs((B94/$B$2)*100&gt;=60,"Large cap stocks",and((B94/$B$2)*100&lt;60,(B94/$B$2)*100&gt;40),"Medium cap stocks",(B94/$B$2)*100&lt;40,"Small cap stocks")</f>
        <v>Small cap stocks</v>
      </c>
    </row>
    <row r="95">
      <c r="A95" s="26" t="str">
        <f>IFERROR(__xludf.DUMMYFUNCTION("""COMPUTED_VALUE"""),"Dixon Technologies")</f>
        <v>Dixon Technologies</v>
      </c>
      <c r="B95" s="27">
        <f>IFERROR(__xludf.DUMMYFUNCTION("""COMPUTED_VALUE"""),21650.114525)</f>
        <v>21650.11453</v>
      </c>
      <c r="C95" s="26">
        <f>IFERROR(__xludf.DUMMYFUNCTION("""COMPUTED_VALUE"""),3635.0)</f>
        <v>3635</v>
      </c>
      <c r="D95" s="26">
        <f>IFERROR(__xludf.DUMMYFUNCTION("""COMPUTED_VALUE"""),93.72)</f>
        <v>93.72</v>
      </c>
      <c r="E95" s="26">
        <f>IFERROR(__xludf.DUMMYFUNCTION("""COMPUTED_VALUE"""),5444.1)</f>
        <v>5444.1</v>
      </c>
      <c r="F95" s="28">
        <f>IFERROR(__xludf.DUMMYFUNCTION("""COMPUTED_VALUE"""),0.33230469682775854)</f>
        <v>0.3323046968</v>
      </c>
      <c r="G95" s="26">
        <f>IFERROR(__xludf.DUMMYFUNCTION("""COMPUTED_VALUE"""),3180.55)</f>
        <v>3180.55</v>
      </c>
      <c r="H95" s="28">
        <f>IFERROR(__xludf.DUMMYFUNCTION("""COMPUTED_VALUE"""),0.1428840923739604)</f>
        <v>0.1428840924</v>
      </c>
      <c r="I95" s="26">
        <f>IFERROR(__xludf.DUMMYFUNCTION("""COMPUTED_VALUE"""),3651.05)</f>
        <v>3651.05</v>
      </c>
      <c r="J95" s="28">
        <f>IFERROR(__xludf.DUMMYFUNCTION("""COMPUTED_VALUE"""),-0.00439599567247783)</f>
        <v>-0.004395995672</v>
      </c>
      <c r="K95" s="26" t="s">
        <v>355</v>
      </c>
      <c r="L95" s="26" t="s">
        <v>356</v>
      </c>
      <c r="M95" s="29" t="str">
        <f t="array" ref="M95">IF(F95&gt;30%,"YES","NO")</f>
        <v>YES</v>
      </c>
      <c r="N95" s="29" t="str">
        <f t="array" ref="N95">IF(H95&lt;30%,"YES","NO")</f>
        <v>YES</v>
      </c>
      <c r="O95" s="29" t="str">
        <f t="array" ref="O95"> if(AND(D95&lt;65,M95="NO",N95="NO"),"GOOD STOCK","")</f>
        <v/>
      </c>
      <c r="P95" s="29" t="str">
        <f t="array" ref="P95"> ifs((B95/$B$2)*100&gt;=60,"Large cap stocks",and((B95/$B$2)*100&lt;60,(B95/$B$2)*100&gt;40),"Medium cap stocks",(B95/$B$2)*100&lt;40,"Small cap stocks")</f>
        <v>Small cap stocks</v>
      </c>
    </row>
    <row r="96">
      <c r="A96" s="26" t="str">
        <f>IFERROR(__xludf.DUMMYFUNCTION("""COMPUTED_VALUE"""),"Crompton Greves")</f>
        <v>Crompton Greves</v>
      </c>
      <c r="B96" s="27">
        <f>IFERROR(__xludf.DUMMYFUNCTION("""COMPUTED_VALUE"""),21451.6044776)</f>
        <v>21451.60448</v>
      </c>
      <c r="C96" s="26">
        <f>IFERROR(__xludf.DUMMYFUNCTION("""COMPUTED_VALUE"""),337.35)</f>
        <v>337.35</v>
      </c>
      <c r="D96" s="26">
        <f>IFERROR(__xludf.DUMMYFUNCTION("""COMPUTED_VALUE"""),36.77)</f>
        <v>36.77</v>
      </c>
      <c r="E96" s="26">
        <f>IFERROR(__xludf.DUMMYFUNCTION("""COMPUTED_VALUE"""),451.95)</f>
        <v>451.95</v>
      </c>
      <c r="F96" s="28">
        <f>IFERROR(__xludf.DUMMYFUNCTION("""COMPUTED_VALUE"""),0.2535678725522734)</f>
        <v>0.2535678726</v>
      </c>
      <c r="G96" s="26">
        <f>IFERROR(__xludf.DUMMYFUNCTION("""COMPUTED_VALUE"""),312.0)</f>
        <v>312</v>
      </c>
      <c r="H96" s="28">
        <f>IFERROR(__xludf.DUMMYFUNCTION("""COMPUTED_VALUE"""),0.08125000000000007)</f>
        <v>0.08125</v>
      </c>
      <c r="I96" s="26">
        <f>IFERROR(__xludf.DUMMYFUNCTION("""COMPUTED_VALUE"""),338.0)</f>
        <v>338</v>
      </c>
      <c r="J96" s="28">
        <f>IFERROR(__xludf.DUMMYFUNCTION("""COMPUTED_VALUE"""),-0.0019230769230768557)</f>
        <v>-0.001923076923</v>
      </c>
      <c r="K96" s="26" t="s">
        <v>282</v>
      </c>
      <c r="L96" s="26" t="s">
        <v>357</v>
      </c>
      <c r="M96" s="29" t="str">
        <f t="array" ref="M96">IF(F96&gt;30%,"YES","NO")</f>
        <v>NO</v>
      </c>
      <c r="N96" s="29" t="str">
        <f t="array" ref="N96">IF(H96&lt;30%,"YES","NO")</f>
        <v>YES</v>
      </c>
      <c r="O96" s="29" t="str">
        <f t="array" ref="O96"> if(AND(D96&lt;65,M96="NO",N96="NO"),"GOOD STOCK","")</f>
        <v/>
      </c>
      <c r="P96" s="29" t="str">
        <f t="array" ref="P96"> ifs((B96/$B$2)*100&gt;=60,"Large cap stocks",and((B96/$B$2)*100&lt;60,(B96/$B$2)*100&gt;40),"Medium cap stocks",(B96/$B$2)*100&lt;40,"Small cap stocks")</f>
        <v>Small cap stocks</v>
      </c>
    </row>
    <row r="97">
      <c r="A97" s="26" t="str">
        <f>IFERROR(__xludf.DUMMYFUNCTION("""COMPUTED_VALUE"""),"Aarti Industries")</f>
        <v>Aarti Industries</v>
      </c>
      <c r="B97" s="27">
        <f>IFERROR(__xludf.DUMMYFUNCTION("""COMPUTED_VALUE"""),21081.42)</f>
        <v>21081.42</v>
      </c>
      <c r="C97" s="26">
        <f>IFERROR(__xludf.DUMMYFUNCTION("""COMPUTED_VALUE"""),581.8)</f>
        <v>581.8</v>
      </c>
      <c r="D97" s="26">
        <f>IFERROR(__xludf.DUMMYFUNCTION("""COMPUTED_VALUE"""),17.2)</f>
        <v>17.2</v>
      </c>
      <c r="E97" s="26">
        <f>IFERROR(__xludf.DUMMYFUNCTION("""COMPUTED_VALUE"""),1118.0)</f>
        <v>1118</v>
      </c>
      <c r="F97" s="28">
        <f>IFERROR(__xludf.DUMMYFUNCTION("""COMPUTED_VALUE"""),0.4796064400715564)</f>
        <v>0.4796064401</v>
      </c>
      <c r="G97" s="26">
        <f>IFERROR(__xludf.DUMMYFUNCTION("""COMPUTED_VALUE"""),579.0)</f>
        <v>579</v>
      </c>
      <c r="H97" s="28">
        <f>IFERROR(__xludf.DUMMYFUNCTION("""COMPUTED_VALUE"""),0.004835924006908385)</f>
        <v>0.004835924007</v>
      </c>
      <c r="I97" s="26">
        <f>IFERROR(__xludf.DUMMYFUNCTION("""COMPUTED_VALUE"""),592.4)</f>
        <v>592.4</v>
      </c>
      <c r="J97" s="28">
        <f>IFERROR(__xludf.DUMMYFUNCTION("""COMPUTED_VALUE"""),-0.01789331532748147)</f>
        <v>-0.01789331533</v>
      </c>
      <c r="K97" s="26" t="s">
        <v>265</v>
      </c>
      <c r="L97" s="26" t="s">
        <v>358</v>
      </c>
      <c r="M97" s="29" t="str">
        <f t="array" ref="M97">IF(F97&gt;30%,"YES","NO")</f>
        <v>YES</v>
      </c>
      <c r="N97" s="29" t="str">
        <f t="array" ref="N97">IF(H97&lt;30%,"YES","NO")</f>
        <v>YES</v>
      </c>
      <c r="O97" s="29" t="str">
        <f t="array" ref="O97"> if(AND(D97&lt;65,M97="NO",N97="NO"),"GOOD STOCK","")</f>
        <v/>
      </c>
      <c r="P97" s="29" t="str">
        <f t="array" ref="P97"> ifs((B97/$B$2)*100&gt;=60,"Large cap stocks",and((B97/$B$2)*100&lt;60,(B97/$B$2)*100&gt;40),"Medium cap stocks",(B97/$B$2)*100&lt;40,"Small cap stocks")</f>
        <v>Small cap stocks</v>
      </c>
    </row>
    <row r="98">
      <c r="A98" s="26" t="str">
        <f>IFERROR(__xludf.DUMMYFUNCTION("""COMPUTED_VALUE"""),"Bayer Cropscience")</f>
        <v>Bayer Cropscience</v>
      </c>
      <c r="B98" s="27">
        <f>IFERROR(__xludf.DUMMYFUNCTION("""COMPUTED_VALUE"""),21050.0222911)</f>
        <v>21050.02229</v>
      </c>
      <c r="C98" s="26">
        <f>IFERROR(__xludf.DUMMYFUNCTION("""COMPUTED_VALUE"""),4669.05)</f>
        <v>4669.05</v>
      </c>
      <c r="D98" s="26">
        <f>IFERROR(__xludf.DUMMYFUNCTION("""COMPUTED_VALUE"""),29.86)</f>
        <v>29.86</v>
      </c>
      <c r="E98" s="26">
        <f>IFERROR(__xludf.DUMMYFUNCTION("""COMPUTED_VALUE"""),5667.75)</f>
        <v>5667.75</v>
      </c>
      <c r="F98" s="28">
        <f>IFERROR(__xludf.DUMMYFUNCTION("""COMPUTED_VALUE"""),0.17620748974460762)</f>
        <v>0.1762074897</v>
      </c>
      <c r="G98" s="26">
        <f>IFERROR(__xludf.DUMMYFUNCTION("""COMPUTED_VALUE"""),4218.05)</f>
        <v>4218.05</v>
      </c>
      <c r="H98" s="28">
        <f>IFERROR(__xludf.DUMMYFUNCTION("""COMPUTED_VALUE"""),0.10692144474342409)</f>
        <v>0.1069214447</v>
      </c>
      <c r="I98" s="26">
        <f>IFERROR(__xludf.DUMMYFUNCTION("""COMPUTED_VALUE"""),4647.55)</f>
        <v>4647.55</v>
      </c>
      <c r="J98" s="28">
        <f>IFERROR(__xludf.DUMMYFUNCTION("""COMPUTED_VALUE"""),0.004626093317984745)</f>
        <v>0.004626093318</v>
      </c>
      <c r="K98" s="26" t="s">
        <v>292</v>
      </c>
      <c r="L98" s="26" t="s">
        <v>359</v>
      </c>
      <c r="M98" s="29" t="str">
        <f t="array" ref="M98">IF(F98&gt;30%,"YES","NO")</f>
        <v>NO</v>
      </c>
      <c r="N98" s="29" t="str">
        <f t="array" ref="N98">IF(H98&lt;30%,"YES","NO")</f>
        <v>YES</v>
      </c>
      <c r="O98" s="29" t="str">
        <f t="array" ref="O98"> if(AND(D98&lt;65,M98="NO",N98="NO"),"GOOD STOCK","")</f>
        <v/>
      </c>
      <c r="P98" s="29" t="str">
        <f t="array" ref="P98"> ifs((B98/$B$2)*100&gt;=60,"Large cap stocks",and((B98/$B$2)*100&lt;60,(B98/$B$2)*100&gt;40),"Medium cap stocks",(B98/$B$2)*100&lt;40,"Small cap stocks")</f>
        <v>Small cap stocks</v>
      </c>
    </row>
    <row r="99">
      <c r="A99" s="26" t="str">
        <f>IFERROR(__xludf.DUMMYFUNCTION("""COMPUTED_VALUE"""),"Vinita Organics")</f>
        <v>Vinita Organics</v>
      </c>
      <c r="B99" s="27">
        <f>IFERROR(__xludf.DUMMYFUNCTION("""COMPUTED_VALUE"""),20604.2)</f>
        <v>20604.2</v>
      </c>
      <c r="C99" s="26">
        <f>IFERROR(__xludf.DUMMYFUNCTION("""COMPUTED_VALUE"""),2000.0)</f>
        <v>2000</v>
      </c>
      <c r="D99" s="26">
        <f>IFERROR(__xludf.DUMMYFUNCTION("""COMPUTED_VALUE"""),51.19)</f>
        <v>51.19</v>
      </c>
      <c r="E99" s="26">
        <f>IFERROR(__xludf.DUMMYFUNCTION("""COMPUTED_VALUE"""),2377.0)</f>
        <v>2377</v>
      </c>
      <c r="F99" s="28">
        <f>IFERROR(__xludf.DUMMYFUNCTION("""COMPUTED_VALUE"""),0.15860328144720234)</f>
        <v>0.1586032814</v>
      </c>
      <c r="G99" s="26">
        <f>IFERROR(__xludf.DUMMYFUNCTION("""COMPUTED_VALUE"""),1674.2)</f>
        <v>1674.2</v>
      </c>
      <c r="H99" s="28">
        <f>IFERROR(__xludf.DUMMYFUNCTION("""COMPUTED_VALUE"""),0.19460040616413807)</f>
        <v>0.1946004062</v>
      </c>
      <c r="I99" s="26">
        <f>IFERROR(__xludf.DUMMYFUNCTION("""COMPUTED_VALUE"""),2014.85)</f>
        <v>2014.85</v>
      </c>
      <c r="J99" s="28">
        <f>IFERROR(__xludf.DUMMYFUNCTION("""COMPUTED_VALUE"""),-0.007370275702905878)</f>
        <v>-0.007370275703</v>
      </c>
      <c r="K99" s="26" t="s">
        <v>265</v>
      </c>
      <c r="L99" s="26" t="s">
        <v>360</v>
      </c>
      <c r="M99" s="29" t="str">
        <f t="array" ref="M99">IF(F99&gt;30%,"YES","NO")</f>
        <v>NO</v>
      </c>
      <c r="N99" s="29" t="str">
        <f t="array" ref="N99">IF(H99&lt;30%,"YES","NO")</f>
        <v>YES</v>
      </c>
      <c r="O99" s="29" t="str">
        <f t="array" ref="O99"> if(AND(D99&lt;65,M99="NO",N99="NO"),"GOOD STOCK","")</f>
        <v/>
      </c>
      <c r="P99" s="29" t="str">
        <f t="array" ref="P99"> ifs((B99/$B$2)*100&gt;=60,"Large cap stocks",and((B99/$B$2)*100&lt;60,(B99/$B$2)*100&gt;40),"Medium cap stocks",(B99/$B$2)*100&lt;40,"Small cap stocks")</f>
        <v>Small cap stocks</v>
      </c>
    </row>
    <row r="100">
      <c r="A100" s="26" t="str">
        <f>IFERROR(__xludf.DUMMYFUNCTION("""COMPUTED_VALUE"""),"Bata India")</f>
        <v>Bata India</v>
      </c>
      <c r="B100" s="27">
        <f>IFERROR(__xludf.DUMMYFUNCTION("""COMPUTED_VALUE"""),20286.8999472)</f>
        <v>20286.89995</v>
      </c>
      <c r="C100" s="26">
        <f>IFERROR(__xludf.DUMMYFUNCTION("""COMPUTED_VALUE"""),1580.0)</f>
        <v>1580</v>
      </c>
      <c r="D100" s="26">
        <f>IFERROR(__xludf.DUMMYFUNCTION("""COMPUTED_VALUE"""),65.53)</f>
        <v>65.53</v>
      </c>
      <c r="E100" s="26">
        <f>IFERROR(__xludf.DUMMYFUNCTION("""COMPUTED_VALUE"""),2122.0)</f>
        <v>2122</v>
      </c>
      <c r="F100" s="28">
        <f>IFERROR(__xludf.DUMMYFUNCTION("""COMPUTED_VALUE"""),0.2554194156456173)</f>
        <v>0.2554194156</v>
      </c>
      <c r="G100" s="26">
        <f>IFERROR(__xludf.DUMMYFUNCTION("""COMPUTED_VALUE"""),1551.1)</f>
        <v>1551.1</v>
      </c>
      <c r="H100" s="28">
        <f>IFERROR(__xludf.DUMMYFUNCTION("""COMPUTED_VALUE"""),0.01863193862420224)</f>
        <v>0.01863193862</v>
      </c>
      <c r="I100" s="26">
        <f>IFERROR(__xludf.DUMMYFUNCTION("""COMPUTED_VALUE"""),1636.6)</f>
        <v>1636.6</v>
      </c>
      <c r="J100" s="28">
        <f>IFERROR(__xludf.DUMMYFUNCTION("""COMPUTED_VALUE"""),-0.03458389343761451)</f>
        <v>-0.03458389344</v>
      </c>
      <c r="K100" s="26" t="s">
        <v>361</v>
      </c>
      <c r="L100" s="26" t="s">
        <v>362</v>
      </c>
      <c r="M100" s="29" t="str">
        <f t="array" ref="M100">IF(F100&gt;30%,"YES","NO")</f>
        <v>NO</v>
      </c>
      <c r="N100" s="29" t="str">
        <f t="array" ref="N100">IF(H100&lt;30%,"YES","NO")</f>
        <v>YES</v>
      </c>
      <c r="O100" s="29" t="str">
        <f t="array" ref="O100"> if(AND(D100&lt;65,M100="NO",N100="NO"),"GOOD STOCK","")</f>
        <v/>
      </c>
      <c r="P100" s="29" t="str">
        <f t="array" ref="P100"> ifs((B100/$B$2)*100&gt;=60,"Large cap stocks",and((B100/$B$2)*100&lt;60,(B100/$B$2)*100&gt;40),"Medium cap stocks",(B100/$B$2)*100&lt;40,"Small cap stocks")</f>
        <v>Small cap stocks</v>
      </c>
    </row>
    <row r="101">
      <c r="A101" s="26" t="str">
        <f>IFERROR(__xludf.DUMMYFUNCTION("""COMPUTED_VALUE"""),"Navin Flourine")</f>
        <v>Navin Flourine</v>
      </c>
      <c r="B101" s="27">
        <f>IFERROR(__xludf.DUMMYFUNCTION("""COMPUTED_VALUE"""),20217.231452)</f>
        <v>20217.23145</v>
      </c>
      <c r="C101" s="26">
        <f>IFERROR(__xludf.DUMMYFUNCTION("""COMPUTED_VALUE"""),4080.6)</f>
        <v>4080.6</v>
      </c>
      <c r="D101" s="26">
        <f>IFERROR(__xludf.DUMMYFUNCTION("""COMPUTED_VALUE"""),73.24)</f>
        <v>73.24</v>
      </c>
      <c r="E101" s="26">
        <f>IFERROR(__xludf.DUMMYFUNCTION("""COMPUTED_VALUE"""),4847.35)</f>
        <v>4847.35</v>
      </c>
      <c r="F101" s="28">
        <f>IFERROR(__xludf.DUMMYFUNCTION("""COMPUTED_VALUE"""),0.15817921132165005)</f>
        <v>0.1581792113</v>
      </c>
      <c r="G101" s="26">
        <f>IFERROR(__xludf.DUMMYFUNCTION("""COMPUTED_VALUE"""),3361.45)</f>
        <v>3361.45</v>
      </c>
      <c r="H101" s="28">
        <f>IFERROR(__xludf.DUMMYFUNCTION("""COMPUTED_VALUE"""),0.2139404126195541)</f>
        <v>0.2139404126</v>
      </c>
      <c r="I101" s="26">
        <f>IFERROR(__xludf.DUMMYFUNCTION("""COMPUTED_VALUE"""),4127.1)</f>
        <v>4127.1</v>
      </c>
      <c r="J101" s="28">
        <f>IFERROR(__xludf.DUMMYFUNCTION("""COMPUTED_VALUE"""),-0.011266991349858363)</f>
        <v>-0.01126699135</v>
      </c>
      <c r="K101" s="26" t="s">
        <v>265</v>
      </c>
      <c r="L101" s="26" t="s">
        <v>363</v>
      </c>
      <c r="M101" s="29" t="str">
        <f t="array" ref="M101">IF(F101&gt;30%,"YES","NO")</f>
        <v>NO</v>
      </c>
      <c r="N101" s="29" t="str">
        <f t="array" ref="N101">IF(H101&lt;30%,"YES","NO")</f>
        <v>YES</v>
      </c>
      <c r="O101" s="29" t="str">
        <f t="array" ref="O101"> if(AND(D101&lt;65,M101="NO",N101="NO"),"GOOD STOCK","")</f>
        <v/>
      </c>
      <c r="P101" s="29" t="str">
        <f t="array" ref="P101"> ifs((B101/$B$2)*100&gt;=60,"Large cap stocks",and((B101/$B$2)*100&lt;60,(B101/$B$2)*100&gt;40),"Medium cap stocks",(B101/$B$2)*100&lt;40,"Small cap stocks")</f>
        <v>Small cap stocks</v>
      </c>
    </row>
    <row r="102">
      <c r="A102" s="26" t="str">
        <f>IFERROR(__xludf.DUMMYFUNCTION("""COMPUTED_VALUE"""),"Endurance Technology")</f>
        <v>Endurance Technology</v>
      </c>
      <c r="B102" s="27">
        <f>IFERROR(__xludf.DUMMYFUNCTION("""COMPUTED_VALUE"""),19679.44)</f>
        <v>19679.44</v>
      </c>
      <c r="C102" s="26">
        <f>IFERROR(__xludf.DUMMYFUNCTION("""COMPUTED_VALUE"""),1398.5)</f>
        <v>1398.5</v>
      </c>
      <c r="D102" s="26">
        <f>IFERROR(__xludf.DUMMYFUNCTION("""COMPUTED_VALUE"""),42.23)</f>
        <v>42.23</v>
      </c>
      <c r="E102" s="26">
        <f>IFERROR(__xludf.DUMMYFUNCTION("""COMPUTED_VALUE"""),1736.15)</f>
        <v>1736.15</v>
      </c>
      <c r="F102" s="28">
        <f>IFERROR(__xludf.DUMMYFUNCTION("""COMPUTED_VALUE"""),0.19448204360222335)</f>
        <v>0.1944820436</v>
      </c>
      <c r="G102" s="26">
        <f>IFERROR(__xludf.DUMMYFUNCTION("""COMPUTED_VALUE"""),1047.2)</f>
        <v>1047.2</v>
      </c>
      <c r="H102" s="28">
        <f>IFERROR(__xludf.DUMMYFUNCTION("""COMPUTED_VALUE"""),0.3354660045836516)</f>
        <v>0.3354660046</v>
      </c>
      <c r="I102" s="26">
        <f>IFERROR(__xludf.DUMMYFUNCTION("""COMPUTED_VALUE"""),1401.15)</f>
        <v>1401.15</v>
      </c>
      <c r="J102" s="28">
        <f>IFERROR(__xludf.DUMMYFUNCTION("""COMPUTED_VALUE"""),-0.001891303572065868)</f>
        <v>-0.001891303572</v>
      </c>
      <c r="K102" s="26" t="s">
        <v>294</v>
      </c>
      <c r="L102" s="26" t="s">
        <v>364</v>
      </c>
      <c r="M102" s="29" t="str">
        <f t="array" ref="M102">IF(F102&gt;30%,"YES","NO")</f>
        <v>NO</v>
      </c>
      <c r="N102" s="29" t="str">
        <f t="array" ref="N102">IF(H102&lt;30%,"YES","NO")</f>
        <v>NO</v>
      </c>
      <c r="O102" s="29" t="str">
        <f t="array" ref="O102"> if(AND(D102&lt;65,M102="NO",N102="NO"),"GOOD STOCK","")</f>
        <v>GOOD STOCK</v>
      </c>
      <c r="P102" s="29" t="str">
        <f t="array" ref="P102"> ifs((B102/$B$2)*100&gt;=60,"Large cap stocks",and((B102/$B$2)*100&lt;60,(B102/$B$2)*100&gt;40),"Medium cap stocks",(B102/$B$2)*100&lt;40,"Small cap stocks")</f>
        <v>Small cap stocks</v>
      </c>
    </row>
    <row r="103">
      <c r="A103" s="26" t="str">
        <f>IFERROR(__xludf.DUMMYFUNCTION("""COMPUTED_VALUE"""),"Pfizer")</f>
        <v>Pfizer</v>
      </c>
      <c r="B103" s="27">
        <f>IFERROR(__xludf.DUMMYFUNCTION("""COMPUTED_VALUE"""),19278.55)</f>
        <v>19278.55</v>
      </c>
      <c r="C103" s="26">
        <f>IFERROR(__xludf.DUMMYFUNCTION("""COMPUTED_VALUE"""),4224.9)</f>
        <v>4224.9</v>
      </c>
      <c r="D103" s="26">
        <f>IFERROR(__xludf.DUMMYFUNCTION("""COMPUTED_VALUE"""),31.52)</f>
        <v>31.52</v>
      </c>
      <c r="E103" s="26">
        <f>IFERROR(__xludf.DUMMYFUNCTION("""COMPUTED_VALUE"""),4946.1)</f>
        <v>4946.1</v>
      </c>
      <c r="F103" s="28">
        <f>IFERROR(__xludf.DUMMYFUNCTION("""COMPUTED_VALUE"""),0.14581185176199443)</f>
        <v>0.1458118518</v>
      </c>
      <c r="G103" s="26">
        <f>IFERROR(__xludf.DUMMYFUNCTION("""COMPUTED_VALUE"""),4056.0)</f>
        <v>4056</v>
      </c>
      <c r="H103" s="28">
        <f>IFERROR(__xludf.DUMMYFUNCTION("""COMPUTED_VALUE"""),0.04164201183431944)</f>
        <v>0.04164201183</v>
      </c>
      <c r="I103" s="26">
        <f>IFERROR(__xludf.DUMMYFUNCTION("""COMPUTED_VALUE"""),4254.0)</f>
        <v>4254</v>
      </c>
      <c r="J103" s="28">
        <f>IFERROR(__xludf.DUMMYFUNCTION("""COMPUTED_VALUE"""),-0.006840620592383724)</f>
        <v>-0.006840620592</v>
      </c>
      <c r="K103" s="26" t="s">
        <v>254</v>
      </c>
      <c r="L103" s="26" t="s">
        <v>365</v>
      </c>
      <c r="M103" s="29" t="str">
        <f t="array" ref="M103">IF(F103&gt;30%,"YES","NO")</f>
        <v>NO</v>
      </c>
      <c r="N103" s="29" t="str">
        <f t="array" ref="N103">IF(H103&lt;30%,"YES","NO")</f>
        <v>YES</v>
      </c>
      <c r="O103" s="29" t="str">
        <f t="array" ref="O103"> if(AND(D103&lt;65,M103="NO",N103="NO"),"GOOD STOCK","")</f>
        <v/>
      </c>
      <c r="P103" s="29" t="str">
        <f t="array" ref="P103"> ifs((B103/$B$2)*100&gt;=60,"Large cap stocks",and((B103/$B$2)*100&lt;60,(B103/$B$2)*100&gt;40),"Medium cap stocks",(B103/$B$2)*100&lt;40,"Small cap stocks")</f>
        <v>Small cap stocks</v>
      </c>
    </row>
    <row r="104">
      <c r="A104" s="26" t="str">
        <f>IFERROR(__xludf.DUMMYFUNCTION("""COMPUTED_VALUE"""),"Lauras Lab")</f>
        <v>Lauras Lab</v>
      </c>
      <c r="B104" s="27">
        <f>IFERROR(__xludf.DUMMYFUNCTION("""COMPUTED_VALUE"""),19213.8702946)</f>
        <v>19213.87029</v>
      </c>
      <c r="C104" s="26">
        <f>IFERROR(__xludf.DUMMYFUNCTION("""COMPUTED_VALUE"""),357.4)</f>
        <v>357.4</v>
      </c>
      <c r="D104" s="26">
        <f>IFERROR(__xludf.DUMMYFUNCTION("""COMPUTED_VALUE"""),22.19)</f>
        <v>22.19</v>
      </c>
      <c r="E104" s="26">
        <f>IFERROR(__xludf.DUMMYFUNCTION("""COMPUTED_VALUE"""),626.3)</f>
        <v>626.3</v>
      </c>
      <c r="F104" s="28">
        <f>IFERROR(__xludf.DUMMYFUNCTION("""COMPUTED_VALUE"""),0.4293469583266805)</f>
        <v>0.4293469583</v>
      </c>
      <c r="G104" s="26">
        <f>IFERROR(__xludf.DUMMYFUNCTION("""COMPUTED_VALUE"""),354.0)</f>
        <v>354</v>
      </c>
      <c r="H104" s="28">
        <f>IFERROR(__xludf.DUMMYFUNCTION("""COMPUTED_VALUE"""),0.009604519774011236)</f>
        <v>0.009604519774</v>
      </c>
      <c r="I104" s="26">
        <f>IFERROR(__xludf.DUMMYFUNCTION("""COMPUTED_VALUE"""),360.4)</f>
        <v>360.4</v>
      </c>
      <c r="J104" s="28">
        <f>IFERROR(__xludf.DUMMYFUNCTION("""COMPUTED_VALUE"""),-0.008324084350721421)</f>
        <v>-0.008324084351</v>
      </c>
      <c r="K104" s="26" t="s">
        <v>254</v>
      </c>
      <c r="L104" s="26" t="s">
        <v>366</v>
      </c>
      <c r="M104" s="29" t="str">
        <f t="array" ref="M104">IF(F104&gt;30%,"YES","NO")</f>
        <v>YES</v>
      </c>
      <c r="N104" s="29" t="str">
        <f t="array" ref="N104">IF(H104&lt;30%,"YES","NO")</f>
        <v>YES</v>
      </c>
      <c r="O104" s="29" t="str">
        <f t="array" ref="O104"> if(AND(D104&lt;65,M104="NO",N104="NO"),"GOOD STOCK","")</f>
        <v/>
      </c>
      <c r="P104" s="29" t="str">
        <f t="array" ref="P104"> ifs((B104/$B$2)*100&gt;=60,"Large cap stocks",and((B104/$B$2)*100&lt;60,(B104/$B$2)*100&gt;40),"Medium cap stocks",(B104/$B$2)*100&lt;40,"Small cap stocks")</f>
        <v>Small cap stocks</v>
      </c>
    </row>
    <row r="105">
      <c r="A105" s="26" t="str">
        <f>IFERROR(__xludf.DUMMYFUNCTION("""COMPUTED_VALUE"""),"KPIT")</f>
        <v>KPIT</v>
      </c>
      <c r="B105" s="27">
        <f>IFERROR(__xludf.DUMMYFUNCTION("""COMPUTED_VALUE"""),18827.9516699)</f>
        <v>18827.95167</v>
      </c>
      <c r="C105" s="26">
        <f>IFERROR(__xludf.DUMMYFUNCTION("""COMPUTED_VALUE"""),696.3)</f>
        <v>696.3</v>
      </c>
      <c r="D105" s="26">
        <f>IFERROR(__xludf.DUMMYFUNCTION("""COMPUTED_VALUE"""),59.82)</f>
        <v>59.82</v>
      </c>
      <c r="E105" s="26">
        <f>IFERROR(__xludf.DUMMYFUNCTION("""COMPUTED_VALUE"""),764.25)</f>
        <v>764.25</v>
      </c>
      <c r="F105" s="28">
        <f>IFERROR(__xludf.DUMMYFUNCTION("""COMPUTED_VALUE"""),0.08891069676153097)</f>
        <v>0.08891069676</v>
      </c>
      <c r="G105" s="26">
        <f>IFERROR(__xludf.DUMMYFUNCTION("""COMPUTED_VALUE"""),440.0)</f>
        <v>440</v>
      </c>
      <c r="H105" s="28">
        <f>IFERROR(__xludf.DUMMYFUNCTION("""COMPUTED_VALUE"""),0.5824999999999999)</f>
        <v>0.5825</v>
      </c>
      <c r="I105" s="26">
        <f>IFERROR(__xludf.DUMMYFUNCTION("""COMPUTED_VALUE"""),692.45)</f>
        <v>692.45</v>
      </c>
      <c r="J105" s="28">
        <f>IFERROR(__xludf.DUMMYFUNCTION("""COMPUTED_VALUE"""),0.005559968228752847)</f>
        <v>0.005559968229</v>
      </c>
      <c r="K105" s="26" t="s">
        <v>233</v>
      </c>
      <c r="L105" s="26" t="s">
        <v>367</v>
      </c>
      <c r="M105" s="29" t="str">
        <f t="array" ref="M105">IF(F105&gt;30%,"YES","NO")</f>
        <v>NO</v>
      </c>
      <c r="N105" s="29" t="str">
        <f t="array" ref="N105">IF(H105&lt;30%,"YES","NO")</f>
        <v>NO</v>
      </c>
      <c r="O105" s="29" t="str">
        <f t="array" ref="O105"> if(AND(D105&lt;65,M105="NO",N105="NO"),"GOOD STOCK","")</f>
        <v>GOOD STOCK</v>
      </c>
      <c r="P105" s="29" t="str">
        <f t="array" ref="P105"> ifs((B105/$B$2)*100&gt;=60,"Large cap stocks",and((B105/$B$2)*100&lt;60,(B105/$B$2)*100&gt;40),"Medium cap stocks",(B105/$B$2)*100&lt;40,"Small cap stocks")</f>
        <v>Small cap stocks</v>
      </c>
    </row>
    <row r="106">
      <c r="A106" s="26" t="str">
        <f>IFERROR(__xludf.DUMMYFUNCTION("""COMPUTED_VALUE"""),"Whirlpool")</f>
        <v>Whirlpool</v>
      </c>
      <c r="B106" s="27">
        <f>IFERROR(__xludf.DUMMYFUNCTION("""COMPUTED_VALUE"""),18318.3733666)</f>
        <v>18318.37337</v>
      </c>
      <c r="C106" s="26">
        <f>IFERROR(__xludf.DUMMYFUNCTION("""COMPUTED_VALUE"""),1441.55)</f>
        <v>1441.55</v>
      </c>
      <c r="D106" s="26">
        <f>IFERROR(__xludf.DUMMYFUNCTION("""COMPUTED_VALUE"""),70.52)</f>
        <v>70.52</v>
      </c>
      <c r="E106" s="26">
        <f>IFERROR(__xludf.DUMMYFUNCTION("""COMPUTED_VALUE"""),1917.0)</f>
        <v>1917</v>
      </c>
      <c r="F106" s="28">
        <f>IFERROR(__xludf.DUMMYFUNCTION("""COMPUTED_VALUE"""),0.24801773604590507)</f>
        <v>0.248017736</v>
      </c>
      <c r="G106" s="26">
        <f>IFERROR(__xludf.DUMMYFUNCTION("""COMPUTED_VALUE"""),1365.1)</f>
        <v>1365.1</v>
      </c>
      <c r="H106" s="28">
        <f>IFERROR(__xludf.DUMMYFUNCTION("""COMPUTED_VALUE"""),0.05600322320709109)</f>
        <v>0.05600322321</v>
      </c>
      <c r="I106" s="26">
        <f>IFERROR(__xludf.DUMMYFUNCTION("""COMPUTED_VALUE"""),1480.7)</f>
        <v>1480.7</v>
      </c>
      <c r="J106" s="28">
        <f>IFERROR(__xludf.DUMMYFUNCTION("""COMPUTED_VALUE"""),-0.026440197204025184)</f>
        <v>-0.0264401972</v>
      </c>
      <c r="K106" s="26" t="s">
        <v>282</v>
      </c>
      <c r="L106" s="26" t="s">
        <v>368</v>
      </c>
      <c r="M106" s="29" t="str">
        <f t="array" ref="M106">IF(F106&gt;30%,"YES","NO")</f>
        <v>NO</v>
      </c>
      <c r="N106" s="29" t="str">
        <f t="array" ref="N106">IF(H106&lt;30%,"YES","NO")</f>
        <v>YES</v>
      </c>
      <c r="O106" s="29" t="str">
        <f t="array" ref="O106"> if(AND(D106&lt;65,M106="NO",N106="NO"),"GOOD STOCK","")</f>
        <v/>
      </c>
      <c r="P106" s="29" t="str">
        <f t="array" ref="P106"> ifs((B106/$B$2)*100&gt;=60,"Large cap stocks",and((B106/$B$2)*100&lt;60,(B106/$B$2)*100&gt;40),"Medium cap stocks",(B106/$B$2)*100&lt;40,"Small cap stocks")</f>
        <v>Small cap stocks</v>
      </c>
    </row>
    <row r="107">
      <c r="A107" s="26" t="str">
        <f>IFERROR(__xludf.DUMMYFUNCTION("""COMPUTED_VALUE"""),"Dr Lal Path Lab")</f>
        <v>Dr Lal Path Lab</v>
      </c>
      <c r="B107" s="27">
        <f>IFERROR(__xludf.DUMMYFUNCTION("""COMPUTED_VALUE"""),17986.0053514)</f>
        <v>17986.00535</v>
      </c>
      <c r="C107" s="26">
        <f>IFERROR(__xludf.DUMMYFUNCTION("""COMPUTED_VALUE"""),2174.05)</f>
        <v>2174.05</v>
      </c>
      <c r="D107" s="26">
        <f>IFERROR(__xludf.DUMMYFUNCTION("""COMPUTED_VALUE"""),72.77)</f>
        <v>72.77</v>
      </c>
      <c r="E107" s="26">
        <f>IFERROR(__xludf.DUMMYFUNCTION("""COMPUTED_VALUE"""),3769.95)</f>
        <v>3769.95</v>
      </c>
      <c r="F107" s="28">
        <f>IFERROR(__xludf.DUMMYFUNCTION("""COMPUTED_VALUE"""),0.423321264207748)</f>
        <v>0.4233212642</v>
      </c>
      <c r="G107" s="26">
        <f>IFERROR(__xludf.DUMMYFUNCTION("""COMPUTED_VALUE"""),1805.55)</f>
        <v>1805.55</v>
      </c>
      <c r="H107" s="28">
        <f>IFERROR(__xludf.DUMMYFUNCTION("""COMPUTED_VALUE"""),0.20409293567057143)</f>
        <v>0.2040929357</v>
      </c>
      <c r="I107" s="26">
        <f>IFERROR(__xludf.DUMMYFUNCTION("""COMPUTED_VALUE"""),2171.85)</f>
        <v>2171.85</v>
      </c>
      <c r="J107" s="28">
        <f>IFERROR(__xludf.DUMMYFUNCTION("""COMPUTED_VALUE"""),0.0010129613002740857)</f>
        <v>0.0010129613</v>
      </c>
      <c r="K107" s="26" t="s">
        <v>369</v>
      </c>
      <c r="L107" s="26" t="s">
        <v>370</v>
      </c>
      <c r="M107" s="29" t="str">
        <f t="array" ref="M107">IF(F107&gt;30%,"YES","NO")</f>
        <v>YES</v>
      </c>
      <c r="N107" s="29" t="str">
        <f t="array" ref="N107">IF(H107&lt;30%,"YES","NO")</f>
        <v>YES</v>
      </c>
      <c r="O107" s="29" t="str">
        <f t="array" ref="O107"> if(AND(D107&lt;65,M107="NO",N107="NO"),"GOOD STOCK","")</f>
        <v/>
      </c>
      <c r="P107" s="29" t="str">
        <f t="array" ref="P107"> ifs((B107/$B$2)*100&gt;=60,"Large cap stocks",and((B107/$B$2)*100&lt;60,(B107/$B$2)*100&gt;40),"Medium cap stocks",(B107/$B$2)*100&lt;40,"Small cap stocks")</f>
        <v>Small cap stocks</v>
      </c>
    </row>
    <row r="108">
      <c r="A108" s="26" t="str">
        <f>IFERROR(__xludf.DUMMYFUNCTION("""COMPUTED_VALUE"""),"Kajaria Ceramic")</f>
        <v>Kajaria Ceramic</v>
      </c>
      <c r="B108" s="27">
        <f>IFERROR(__xludf.DUMMYFUNCTION("""COMPUTED_VALUE"""),17802.1935)</f>
        <v>17802.1935</v>
      </c>
      <c r="C108" s="26">
        <f>IFERROR(__xludf.DUMMYFUNCTION("""COMPUTED_VALUE"""),1118.0)</f>
        <v>1118</v>
      </c>
      <c r="D108" s="26">
        <f>IFERROR(__xludf.DUMMYFUNCTION("""COMPUTED_VALUE"""),46.87)</f>
        <v>46.87</v>
      </c>
      <c r="E108" s="26">
        <f>IFERROR(__xludf.DUMMYFUNCTION("""COMPUTED_VALUE"""),1374.55)</f>
        <v>1374.55</v>
      </c>
      <c r="F108" s="28">
        <f>IFERROR(__xludf.DUMMYFUNCTION("""COMPUTED_VALUE"""),0.186642901313157)</f>
        <v>0.1866429013</v>
      </c>
      <c r="G108" s="26">
        <f>IFERROR(__xludf.DUMMYFUNCTION("""COMPUTED_VALUE"""),885.3)</f>
        <v>885.3</v>
      </c>
      <c r="H108" s="28">
        <f>IFERROR(__xludf.DUMMYFUNCTION("""COMPUTED_VALUE"""),0.262848751835536)</f>
        <v>0.2628487518</v>
      </c>
      <c r="I108" s="26">
        <f>IFERROR(__xludf.DUMMYFUNCTION("""COMPUTED_VALUE"""),1112.5)</f>
        <v>1112.5</v>
      </c>
      <c r="J108" s="28">
        <f>IFERROR(__xludf.DUMMYFUNCTION("""COMPUTED_VALUE"""),0.004943820224719101)</f>
        <v>0.004943820225</v>
      </c>
      <c r="K108" s="26" t="s">
        <v>371</v>
      </c>
      <c r="L108" s="26" t="s">
        <v>372</v>
      </c>
      <c r="M108" s="29" t="str">
        <f t="array" ref="M108">IF(F108&gt;30%,"YES","NO")</f>
        <v>NO</v>
      </c>
      <c r="N108" s="29" t="str">
        <f t="array" ref="N108">IF(H108&lt;30%,"YES","NO")</f>
        <v>YES</v>
      </c>
      <c r="O108" s="29" t="str">
        <f t="array" ref="O108"> if(AND(D108&lt;65,M108="NO",N108="NO"),"GOOD STOCK","")</f>
        <v/>
      </c>
      <c r="P108" s="29" t="str">
        <f t="array" ref="P108"> ifs((B108/$B$2)*100&gt;=60,"Large cap stocks",and((B108/$B$2)*100&lt;60,(B108/$B$2)*100&gt;40),"Medium cap stocks",(B108/$B$2)*100&lt;40,"Small cap stocks")</f>
        <v>Small cap stocks</v>
      </c>
    </row>
    <row r="109">
      <c r="A109" s="26" t="str">
        <f>IFERROR(__xludf.DUMMYFUNCTION("""COMPUTED_VALUE"""),"Fine Organics")</f>
        <v>Fine Organics</v>
      </c>
      <c r="B109" s="27">
        <f>IFERROR(__xludf.DUMMYFUNCTION("""COMPUTED_VALUE"""),17277.2)</f>
        <v>17277.2</v>
      </c>
      <c r="C109" s="26">
        <f>IFERROR(__xludf.DUMMYFUNCTION("""COMPUTED_VALUE"""),5630.0)</f>
        <v>5630</v>
      </c>
      <c r="D109" s="26">
        <f>IFERROR(__xludf.DUMMYFUNCTION("""COMPUTED_VALUE"""),32.19)</f>
        <v>32.19</v>
      </c>
      <c r="E109" s="26">
        <f>IFERROR(__xludf.DUMMYFUNCTION("""COMPUTED_VALUE"""),7328.75)</f>
        <v>7328.75</v>
      </c>
      <c r="F109" s="28">
        <f>IFERROR(__xludf.DUMMYFUNCTION("""COMPUTED_VALUE"""),0.23179259764625618)</f>
        <v>0.2317925976</v>
      </c>
      <c r="G109" s="26">
        <f>IFERROR(__xludf.DUMMYFUNCTION("""COMPUTED_VALUE"""),3457.1)</f>
        <v>3457.1</v>
      </c>
      <c r="H109" s="28">
        <f>IFERROR(__xludf.DUMMYFUNCTION("""COMPUTED_VALUE"""),0.6285325851146916)</f>
        <v>0.6285325851</v>
      </c>
      <c r="I109" s="26">
        <f>IFERROR(__xludf.DUMMYFUNCTION("""COMPUTED_VALUE"""),5672.25)</f>
        <v>5672.25</v>
      </c>
      <c r="J109" s="28">
        <f>IFERROR(__xludf.DUMMYFUNCTION("""COMPUTED_VALUE"""),-0.0074485433469963416)</f>
        <v>-0.007448543347</v>
      </c>
      <c r="K109" s="26" t="s">
        <v>265</v>
      </c>
      <c r="L109" s="26" t="s">
        <v>373</v>
      </c>
      <c r="M109" s="29" t="str">
        <f t="array" ref="M109">IF(F109&gt;30%,"YES","NO")</f>
        <v>NO</v>
      </c>
      <c r="N109" s="29" t="str">
        <f t="array" ref="N109">IF(H109&lt;30%,"YES","NO")</f>
        <v>NO</v>
      </c>
      <c r="O109" s="29" t="str">
        <f t="array" ref="O109"> if(AND(D109&lt;65,M109="NO",N109="NO"),"GOOD STOCK","")</f>
        <v>GOOD STOCK</v>
      </c>
      <c r="P109" s="29" t="str">
        <f t="array" ref="P109"> ifs((B109/$B$2)*100&gt;=60,"Large cap stocks",and((B109/$B$2)*100&lt;60,(B109/$B$2)*100&gt;40),"Medium cap stocks",(B109/$B$2)*100&lt;40,"Small cap stocks")</f>
        <v>Small cap stocks</v>
      </c>
    </row>
    <row r="110">
      <c r="A110" s="26" t="str">
        <f>IFERROR(__xludf.DUMMYFUNCTION("""COMPUTED_VALUE"""),"Trident")</f>
        <v>Trident</v>
      </c>
      <c r="B110" s="27">
        <f>IFERROR(__xludf.DUMMYFUNCTION("""COMPUTED_VALUE"""),16896.24225)</f>
        <v>16896.24225</v>
      </c>
      <c r="C110" s="26">
        <f>IFERROR(__xludf.DUMMYFUNCTION("""COMPUTED_VALUE"""),33.75)</f>
        <v>33.75</v>
      </c>
      <c r="D110" s="26">
        <f>IFERROR(__xludf.DUMMYFUNCTION("""COMPUTED_VALUE"""),30.44)</f>
        <v>30.44</v>
      </c>
      <c r="E110" s="26">
        <f>IFERROR(__xludf.DUMMYFUNCTION("""COMPUTED_VALUE"""),70.9)</f>
        <v>70.9</v>
      </c>
      <c r="F110" s="28">
        <f>IFERROR(__xludf.DUMMYFUNCTION("""COMPUTED_VALUE"""),0.5239774330042314)</f>
        <v>0.523977433</v>
      </c>
      <c r="G110" s="26">
        <f>IFERROR(__xludf.DUMMYFUNCTION("""COMPUTED_VALUE"""),30.45)</f>
        <v>30.45</v>
      </c>
      <c r="H110" s="28">
        <f>IFERROR(__xludf.DUMMYFUNCTION("""COMPUTED_VALUE"""),0.10837438423645322)</f>
        <v>0.1083743842</v>
      </c>
      <c r="I110" s="26">
        <f>IFERROR(__xludf.DUMMYFUNCTION("""COMPUTED_VALUE"""),33.65)</f>
        <v>33.65</v>
      </c>
      <c r="J110" s="28">
        <f>IFERROR(__xludf.DUMMYFUNCTION("""COMPUTED_VALUE"""),0.00297176820208028)</f>
        <v>0.002971768202</v>
      </c>
      <c r="K110" s="26" t="s">
        <v>304</v>
      </c>
      <c r="L110" s="26" t="s">
        <v>374</v>
      </c>
      <c r="M110" s="29" t="str">
        <f t="array" ref="M110">IF(F110&gt;30%,"YES","NO")</f>
        <v>YES</v>
      </c>
      <c r="N110" s="29" t="str">
        <f t="array" ref="N110">IF(H110&lt;30%,"YES","NO")</f>
        <v>YES</v>
      </c>
      <c r="O110" s="29" t="str">
        <f t="array" ref="O110"> if(AND(D110&lt;65,M110="NO",N110="NO"),"GOOD STOCK","")</f>
        <v/>
      </c>
      <c r="P110" s="29" t="str">
        <f t="array" ref="P110"> ifs((B110/$B$2)*100&gt;=60,"Large cap stocks",and((B110/$B$2)*100&lt;60,(B110/$B$2)*100&gt;40),"Medium cap stocks",(B110/$B$2)*100&lt;40,"Small cap stocks")</f>
        <v>Small cap stocks</v>
      </c>
    </row>
    <row r="111">
      <c r="A111" s="26" t="str">
        <f>IFERROR(__xludf.DUMMYFUNCTION("""COMPUTED_VALUE"""),"Nippon AMC")</f>
        <v>Nippon AMC</v>
      </c>
      <c r="B111" s="27">
        <f>IFERROR(__xludf.DUMMYFUNCTION("""COMPUTED_VALUE"""),15766.33509)</f>
        <v>15766.33509</v>
      </c>
      <c r="C111" s="26">
        <f>IFERROR(__xludf.DUMMYFUNCTION("""COMPUTED_VALUE"""),252.6)</f>
        <v>252.6</v>
      </c>
      <c r="D111" s="26">
        <f>IFERROR(__xludf.DUMMYFUNCTION("""COMPUTED_VALUE"""),23.69)</f>
        <v>23.69</v>
      </c>
      <c r="E111" s="26">
        <f>IFERROR(__xludf.DUMMYFUNCTION("""COMPUTED_VALUE"""),375.2)</f>
        <v>375.2</v>
      </c>
      <c r="F111" s="28">
        <f>IFERROR(__xludf.DUMMYFUNCTION("""COMPUTED_VALUE"""),0.3267590618336887)</f>
        <v>0.3267590618</v>
      </c>
      <c r="G111" s="26">
        <f>IFERROR(__xludf.DUMMYFUNCTION("""COMPUTED_VALUE"""),241.05)</f>
        <v>241.05</v>
      </c>
      <c r="H111" s="28">
        <f>IFERROR(__xludf.DUMMYFUNCTION("""COMPUTED_VALUE"""),0.04791537025513372)</f>
        <v>0.04791537026</v>
      </c>
      <c r="I111" s="26">
        <f>IFERROR(__xludf.DUMMYFUNCTION("""COMPUTED_VALUE"""),251.9)</f>
        <v>251.9</v>
      </c>
      <c r="J111" s="28">
        <f>IFERROR(__xludf.DUMMYFUNCTION("""COMPUTED_VALUE"""),0.002778880508138105)</f>
        <v>0.002778880508</v>
      </c>
      <c r="K111" s="26" t="s">
        <v>302</v>
      </c>
      <c r="L111" s="26" t="s">
        <v>375</v>
      </c>
      <c r="M111" s="29" t="str">
        <f t="array" ref="M111">IF(F111&gt;30%,"YES","NO")</f>
        <v>YES</v>
      </c>
      <c r="N111" s="29" t="str">
        <f t="array" ref="N111">IF(H111&lt;30%,"YES","NO")</f>
        <v>YES</v>
      </c>
      <c r="O111" s="29" t="str">
        <f t="array" ref="O111"> if(AND(D111&lt;65,M111="NO",N111="NO"),"GOOD STOCK","")</f>
        <v/>
      </c>
      <c r="P111" s="29" t="str">
        <f t="array" ref="P111"> ifs((B111/$B$2)*100&gt;=60,"Large cap stocks",and((B111/$B$2)*100&lt;60,(B111/$B$2)*100&gt;40),"Medium cap stocks",(B111/$B$2)*100&lt;40,"Small cap stocks")</f>
        <v>Small cap stocks</v>
      </c>
    </row>
    <row r="112">
      <c r="A112" s="26" t="str">
        <f>IFERROR(__xludf.DUMMYFUNCTION("""COMPUTED_VALUE"""),"Exide Battery")</f>
        <v>Exide Battery</v>
      </c>
      <c r="B112" s="27">
        <f>IFERROR(__xludf.DUMMYFUNCTION("""COMPUTED_VALUE"""),15554.9906858)</f>
        <v>15554.99069</v>
      </c>
      <c r="C112" s="26">
        <f>IFERROR(__xludf.DUMMYFUNCTION("""COMPUTED_VALUE"""),182.85)</f>
        <v>182.85</v>
      </c>
      <c r="D112" s="26">
        <f>IFERROR(__xludf.DUMMYFUNCTION("""COMPUTED_VALUE"""),3.39)</f>
        <v>3.39</v>
      </c>
      <c r="E112" s="26">
        <f>IFERROR(__xludf.DUMMYFUNCTION("""COMPUTED_VALUE"""),194.2)</f>
        <v>194.2</v>
      </c>
      <c r="F112" s="28">
        <f>IFERROR(__xludf.DUMMYFUNCTION("""COMPUTED_VALUE"""),0.05844490216271882)</f>
        <v>0.05844490216</v>
      </c>
      <c r="G112" s="26">
        <f>IFERROR(__xludf.DUMMYFUNCTION("""COMPUTED_VALUE"""),130.25)</f>
        <v>130.25</v>
      </c>
      <c r="H112" s="28">
        <f>IFERROR(__xludf.DUMMYFUNCTION("""COMPUTED_VALUE"""),0.4038387715930902)</f>
        <v>0.4038387716</v>
      </c>
      <c r="I112" s="26">
        <f>IFERROR(__xludf.DUMMYFUNCTION("""COMPUTED_VALUE"""),182.65)</f>
        <v>182.65</v>
      </c>
      <c r="J112" s="28">
        <f>IFERROR(__xludf.DUMMYFUNCTION("""COMPUTED_VALUE"""),0.001094990418833773)</f>
        <v>0.001094990419</v>
      </c>
      <c r="K112" s="26" t="s">
        <v>294</v>
      </c>
      <c r="L112" s="26" t="s">
        <v>376</v>
      </c>
      <c r="M112" s="29" t="str">
        <f t="array" ref="M112">IF(F112&gt;30%,"YES","NO")</f>
        <v>NO</v>
      </c>
      <c r="N112" s="29" t="str">
        <f t="array" ref="N112">IF(H112&lt;30%,"YES","NO")</f>
        <v>NO</v>
      </c>
      <c r="O112" s="29" t="str">
        <f t="array" ref="O112"> if(AND(D112&lt;65,M112="NO",N112="NO"),"GOOD STOCK","")</f>
        <v>GOOD STOCK</v>
      </c>
      <c r="P112" s="29" t="str">
        <f t="array" ref="P112"> ifs((B112/$B$2)*100&gt;=60,"Large cap stocks",and((B112/$B$2)*100&lt;60,(B112/$B$2)*100&gt;40),"Medium cap stocks",(B112/$B$2)*100&lt;40,"Small cap stocks")</f>
        <v>Small cap stocks</v>
      </c>
    </row>
    <row r="113">
      <c r="A113" s="26" t="str">
        <f>IFERROR(__xludf.DUMMYFUNCTION("""COMPUTED_VALUE"""),"clean science")</f>
        <v>clean science</v>
      </c>
      <c r="B113" s="27">
        <f>IFERROR(__xludf.DUMMYFUNCTION("""COMPUTED_VALUE"""),15538.83)</f>
        <v>15538.83</v>
      </c>
      <c r="C113" s="26">
        <f>IFERROR(__xludf.DUMMYFUNCTION("""COMPUTED_VALUE"""),1463.5)</f>
        <v>1463.5</v>
      </c>
      <c r="D113" s="26">
        <f>IFERROR(__xludf.DUMMYFUNCTION("""COMPUTED_VALUE"""),61.9)</f>
        <v>61.9</v>
      </c>
      <c r="E113" s="26">
        <f>IFERROR(__xludf.DUMMYFUNCTION("""COMPUTED_VALUE"""),2624.0)</f>
        <v>2624</v>
      </c>
      <c r="F113" s="28">
        <f>IFERROR(__xludf.DUMMYFUNCTION("""COMPUTED_VALUE"""),0.4422637195121951)</f>
        <v>0.4422637195</v>
      </c>
      <c r="G113" s="26">
        <f>IFERROR(__xludf.DUMMYFUNCTION("""COMPUTED_VALUE"""),1410.1)</f>
        <v>1410.1</v>
      </c>
      <c r="H113" s="28">
        <f>IFERROR(__xludf.DUMMYFUNCTION("""COMPUTED_VALUE"""),0.037869654634423155)</f>
        <v>0.03786965463</v>
      </c>
      <c r="I113" s="26">
        <f>IFERROR(__xludf.DUMMYFUNCTION("""COMPUTED_VALUE"""),1471.05)</f>
        <v>1471.05</v>
      </c>
      <c r="J113" s="28">
        <f>IFERROR(__xludf.DUMMYFUNCTION("""COMPUTED_VALUE"""),-0.005132388430032939)</f>
        <v>-0.00513238843</v>
      </c>
      <c r="K113" s="26" t="s">
        <v>265</v>
      </c>
      <c r="L113" s="26" t="s">
        <v>377</v>
      </c>
      <c r="M113" s="29" t="str">
        <f t="array" ref="M113">IF(F113&gt;30%,"YES","NO")</f>
        <v>YES</v>
      </c>
      <c r="N113" s="29" t="str">
        <f t="array" ref="N113">IF(H113&lt;30%,"YES","NO")</f>
        <v>YES</v>
      </c>
      <c r="O113" s="29" t="str">
        <f t="array" ref="O113"> if(AND(D113&lt;65,M113="NO",N113="NO"),"GOOD STOCK","")</f>
        <v/>
      </c>
      <c r="P113" s="29" t="str">
        <f t="array" ref="P113"> ifs((B113/$B$2)*100&gt;=60,"Large cap stocks",and((B113/$B$2)*100&lt;60,(B113/$B$2)*100&gt;40),"Medium cap stocks",(B113/$B$2)*100&lt;40,"Small cap stocks")</f>
        <v>Small cap stocks</v>
      </c>
    </row>
    <row r="114">
      <c r="A114" s="26" t="str">
        <f>IFERROR(__xludf.DUMMYFUNCTION("""COMPUTED_VALUE"""),"Alkyl Amine")</f>
        <v>Alkyl Amine</v>
      </c>
      <c r="B114" s="27">
        <f>IFERROR(__xludf.DUMMYFUNCTION("""COMPUTED_VALUE"""),13811.7)</f>
        <v>13811.7</v>
      </c>
      <c r="C114" s="26">
        <f>IFERROR(__xludf.DUMMYFUNCTION("""COMPUTED_VALUE"""),2714.9)</f>
        <v>2714.9</v>
      </c>
      <c r="D114" s="26">
        <f>IFERROR(__xludf.DUMMYFUNCTION("""COMPUTED_VALUE"""),61.31)</f>
        <v>61.31</v>
      </c>
      <c r="E114" s="26">
        <f>IFERROR(__xludf.DUMMYFUNCTION("""COMPUTED_VALUE"""),3797.6)</f>
        <v>3797.6</v>
      </c>
      <c r="F114" s="28">
        <f>IFERROR(__xludf.DUMMYFUNCTION("""COMPUTED_VALUE"""),0.28510111649462816)</f>
        <v>0.2851011165</v>
      </c>
      <c r="G114" s="26">
        <f>IFERROR(__xludf.DUMMYFUNCTION("""COMPUTED_VALUE"""),2506.2)</f>
        <v>2506.2</v>
      </c>
      <c r="H114" s="28">
        <f>IFERROR(__xludf.DUMMYFUNCTION("""COMPUTED_VALUE"""),0.08327348176522237)</f>
        <v>0.08327348177</v>
      </c>
      <c r="I114" s="26">
        <f>IFERROR(__xludf.DUMMYFUNCTION("""COMPUTED_VALUE"""),2750.75)</f>
        <v>2750.75</v>
      </c>
      <c r="J114" s="28">
        <f>IFERROR(__xludf.DUMMYFUNCTION("""COMPUTED_VALUE"""),-0.013032809233845281)</f>
        <v>-0.01303280923</v>
      </c>
      <c r="K114" s="26" t="s">
        <v>265</v>
      </c>
      <c r="L114" s="26" t="s">
        <v>378</v>
      </c>
      <c r="M114" s="29" t="str">
        <f t="array" ref="M114">IF(F114&gt;30%,"YES","NO")</f>
        <v>NO</v>
      </c>
      <c r="N114" s="29" t="str">
        <f t="array" ref="N114">IF(H114&lt;30%,"YES","NO")</f>
        <v>YES</v>
      </c>
      <c r="O114" s="29" t="str">
        <f t="array" ref="O114"> if(AND(D114&lt;65,M114="NO",N114="NO"),"GOOD STOCK","")</f>
        <v/>
      </c>
      <c r="P114" s="29" t="str">
        <f t="array" ref="P114"> ifs((B114/$B$2)*100&gt;=60,"Large cap stocks",and((B114/$B$2)*100&lt;60,(B114/$B$2)*100&gt;40),"Medium cap stocks",(B114/$B$2)*100&lt;40,"Small cap stocks")</f>
        <v>Small cap stocks</v>
      </c>
    </row>
    <row r="115">
      <c r="A115" s="26" t="str">
        <f>IFERROR(__xludf.DUMMYFUNCTION("""COMPUTED_VALUE"""),"Indiamart Intermesh")</f>
        <v>Indiamart Intermesh</v>
      </c>
      <c r="B115" s="27">
        <f>IFERROR(__xludf.DUMMYFUNCTION("""COMPUTED_VALUE"""),13709.808)</f>
        <v>13709.808</v>
      </c>
      <c r="C115" s="26">
        <f>IFERROR(__xludf.DUMMYFUNCTION("""COMPUTED_VALUE"""),4477.0)</f>
        <v>4477</v>
      </c>
      <c r="D115" s="26">
        <f>IFERROR(__xludf.DUMMYFUNCTION("""COMPUTED_VALUE"""),56.62)</f>
        <v>56.62</v>
      </c>
      <c r="E115" s="26">
        <f>IFERROR(__xludf.DUMMYFUNCTION("""COMPUTED_VALUE"""),6898.75)</f>
        <v>6898.75</v>
      </c>
      <c r="F115" s="28">
        <f>IFERROR(__xludf.DUMMYFUNCTION("""COMPUTED_VALUE"""),0.3510418554085885)</f>
        <v>0.3510418554</v>
      </c>
      <c r="G115" s="26">
        <f>IFERROR(__xludf.DUMMYFUNCTION("""COMPUTED_VALUE"""),3676.0)</f>
        <v>3676</v>
      </c>
      <c r="H115" s="28">
        <f>IFERROR(__xludf.DUMMYFUNCTION("""COMPUTED_VALUE"""),0.2178998911860718)</f>
        <v>0.2178998912</v>
      </c>
      <c r="I115" s="26">
        <f>IFERROR(__xludf.DUMMYFUNCTION("""COMPUTED_VALUE"""),4446.55)</f>
        <v>4446.55</v>
      </c>
      <c r="J115" s="28">
        <f>IFERROR(__xludf.DUMMYFUNCTION("""COMPUTED_VALUE"""),0.006848005757272451)</f>
        <v>0.006848005757</v>
      </c>
      <c r="K115" s="26" t="s">
        <v>298</v>
      </c>
      <c r="L115" s="26" t="s">
        <v>379</v>
      </c>
      <c r="M115" s="29" t="str">
        <f t="array" ref="M115">IF(F115&gt;30%,"YES","NO")</f>
        <v>YES</v>
      </c>
      <c r="N115" s="29" t="str">
        <f t="array" ref="N115">IF(H115&lt;30%,"YES","NO")</f>
        <v>YES</v>
      </c>
      <c r="O115" s="29" t="str">
        <f t="array" ref="O115"> if(AND(D115&lt;65,M115="NO",N115="NO"),"GOOD STOCK","")</f>
        <v/>
      </c>
      <c r="P115" s="29" t="str">
        <f t="array" ref="P115"> ifs((B115/$B$2)*100&gt;=60,"Large cap stocks",and((B115/$B$2)*100&lt;60,(B115/$B$2)*100&gt;40),"Medium cap stocks",(B115/$B$2)*100&lt;40,"Small cap stocks")</f>
        <v>Small cap stocks</v>
      </c>
    </row>
    <row r="116">
      <c r="A116" s="26" t="str">
        <f>IFERROR(__xludf.DUMMYFUNCTION("""COMPUTED_VALUE"""),"Affle India")</f>
        <v>Affle India</v>
      </c>
      <c r="B116" s="27">
        <f>IFERROR(__xludf.DUMMYFUNCTION("""COMPUTED_VALUE"""),13659.0)</f>
        <v>13659</v>
      </c>
      <c r="C116" s="26">
        <f>IFERROR(__xludf.DUMMYFUNCTION("""COMPUTED_VALUE"""),1024.0)</f>
        <v>1024</v>
      </c>
      <c r="D116" s="26">
        <f>IFERROR(__xludf.DUMMYFUNCTION("""COMPUTED_VALUE"""),55.83)</f>
        <v>55.83</v>
      </c>
      <c r="E116" s="26">
        <f>IFERROR(__xludf.DUMMYFUNCTION("""COMPUTED_VALUE"""),1511.0)</f>
        <v>1511</v>
      </c>
      <c r="F116" s="28">
        <f>IFERROR(__xludf.DUMMYFUNCTION("""COMPUTED_VALUE"""),0.32230311052283256)</f>
        <v>0.3223031105</v>
      </c>
      <c r="G116" s="26">
        <f>IFERROR(__xludf.DUMMYFUNCTION("""COMPUTED_VALUE"""),871.55)</f>
        <v>871.55</v>
      </c>
      <c r="H116" s="28">
        <f>IFERROR(__xludf.DUMMYFUNCTION("""COMPUTED_VALUE"""),0.17491824909643744)</f>
        <v>0.1749182491</v>
      </c>
      <c r="I116" s="26">
        <f>IFERROR(__xludf.DUMMYFUNCTION("""COMPUTED_VALUE"""),1035.55)</f>
        <v>1035.55</v>
      </c>
      <c r="J116" s="28">
        <f>IFERROR(__xludf.DUMMYFUNCTION("""COMPUTED_VALUE"""),-0.011153493312732321)</f>
        <v>-0.01115349331</v>
      </c>
      <c r="K116" s="26" t="s">
        <v>298</v>
      </c>
      <c r="L116" s="26" t="s">
        <v>380</v>
      </c>
      <c r="M116" s="29" t="str">
        <f t="array" ref="M116">IF(F116&gt;30%,"YES","NO")</f>
        <v>YES</v>
      </c>
      <c r="N116" s="29" t="str">
        <f t="array" ref="N116">IF(H116&lt;30%,"YES","NO")</f>
        <v>YES</v>
      </c>
      <c r="O116" s="29" t="str">
        <f t="array" ref="O116"> if(AND(D116&lt;65,M116="NO",N116="NO"),"GOOD STOCK","")</f>
        <v/>
      </c>
      <c r="P116" s="29" t="str">
        <f t="array" ref="P116"> ifs((B116/$B$2)*100&gt;=60,"Large cap stocks",and((B116/$B$2)*100&lt;60,(B116/$B$2)*100&gt;40),"Medium cap stocks",(B116/$B$2)*100&lt;40,"Small cap stocks")</f>
        <v>Small cap stocks</v>
      </c>
    </row>
    <row r="117">
      <c r="A117" s="26" t="str">
        <f>IFERROR(__xludf.DUMMYFUNCTION("""COMPUTED_VALUE"""),"KEI Industries")</f>
        <v>KEI Industries</v>
      </c>
      <c r="B117" s="27">
        <f>IFERROR(__xludf.DUMMYFUNCTION("""COMPUTED_VALUE"""),12966.0743501)</f>
        <v>12966.07435</v>
      </c>
      <c r="C117" s="26">
        <f>IFERROR(__xludf.DUMMYFUNCTION("""COMPUTED_VALUE"""),1436.05)</f>
        <v>1436.05</v>
      </c>
      <c r="D117" s="26">
        <f>IFERROR(__xludf.DUMMYFUNCTION("""COMPUTED_VALUE"""),30.59)</f>
        <v>30.59</v>
      </c>
      <c r="E117" s="26">
        <f>IFERROR(__xludf.DUMMYFUNCTION("""COMPUTED_VALUE"""),1662.45)</f>
        <v>1662.45</v>
      </c>
      <c r="F117" s="28">
        <f>IFERROR(__xludf.DUMMYFUNCTION("""COMPUTED_VALUE"""),0.13618454690366633)</f>
        <v>0.1361845469</v>
      </c>
      <c r="G117" s="26">
        <f>IFERROR(__xludf.DUMMYFUNCTION("""COMPUTED_VALUE"""),905.2)</f>
        <v>905.2</v>
      </c>
      <c r="H117" s="28">
        <f>IFERROR(__xludf.DUMMYFUNCTION("""COMPUTED_VALUE"""),0.5864449845338046)</f>
        <v>0.5864449845</v>
      </c>
      <c r="I117" s="26">
        <f>IFERROR(__xludf.DUMMYFUNCTION("""COMPUTED_VALUE"""),1435.2)</f>
        <v>1435.2</v>
      </c>
      <c r="J117" s="28">
        <f>IFERROR(__xludf.DUMMYFUNCTION("""COMPUTED_VALUE"""),5.922519509475397E-4)</f>
        <v>0.0005922519509</v>
      </c>
      <c r="K117" s="26" t="s">
        <v>282</v>
      </c>
      <c r="L117" s="26" t="s">
        <v>381</v>
      </c>
      <c r="M117" s="29" t="str">
        <f t="array" ref="M117">IF(F117&gt;30%,"YES","NO")</f>
        <v>NO</v>
      </c>
      <c r="N117" s="29" t="str">
        <f t="array" ref="N117">IF(H117&lt;30%,"YES","NO")</f>
        <v>NO</v>
      </c>
      <c r="O117" s="29" t="str">
        <f t="array" ref="O117"> if(AND(D117&lt;65,M117="NO",N117="NO"),"GOOD STOCK","")</f>
        <v>GOOD STOCK</v>
      </c>
      <c r="P117" s="29" t="str">
        <f t="array" ref="P117"> ifs((B117/$B$2)*100&gt;=60,"Large cap stocks",and((B117/$B$2)*100&lt;60,(B117/$B$2)*100&gt;40),"Medium cap stocks",(B117/$B$2)*100&lt;40,"Small cap stocks")</f>
        <v>Small cap stocks</v>
      </c>
    </row>
    <row r="118">
      <c r="A118" s="26" t="str">
        <f>IFERROR(__xludf.DUMMYFUNCTION("""COMPUTED_VALUE"""),"IEX")</f>
        <v>IEX</v>
      </c>
      <c r="B118" s="27">
        <f>IFERROR(__xludf.DUMMYFUNCTION("""COMPUTED_VALUE"""),12685.7721399)</f>
        <v>12685.77214</v>
      </c>
      <c r="C118" s="26">
        <f>IFERROR(__xludf.DUMMYFUNCTION("""COMPUTED_VALUE"""),141.55)</f>
        <v>141.55</v>
      </c>
      <c r="D118" s="26">
        <f>IFERROR(__xludf.DUMMYFUNCTION("""COMPUTED_VALUE"""),41.14)</f>
        <v>41.14</v>
      </c>
      <c r="E118" s="26">
        <f>IFERROR(__xludf.DUMMYFUNCTION("""COMPUTED_VALUE"""),271.95)</f>
        <v>271.95</v>
      </c>
      <c r="F118" s="28">
        <f>IFERROR(__xludf.DUMMYFUNCTION("""COMPUTED_VALUE"""),0.4794999080713366)</f>
        <v>0.4794999081</v>
      </c>
      <c r="G118" s="26">
        <f>IFERROR(__xludf.DUMMYFUNCTION("""COMPUTED_VALUE"""),129.25)</f>
        <v>129.25</v>
      </c>
      <c r="H118" s="28">
        <f>IFERROR(__xludf.DUMMYFUNCTION("""COMPUTED_VALUE"""),0.09516441005802717)</f>
        <v>0.09516441006</v>
      </c>
      <c r="I118" s="26">
        <f>IFERROR(__xludf.DUMMYFUNCTION("""COMPUTED_VALUE"""),141.4)</f>
        <v>141.4</v>
      </c>
      <c r="J118" s="28">
        <f>IFERROR(__xludf.DUMMYFUNCTION("""COMPUTED_VALUE"""),0.001060820367751101)</f>
        <v>0.001060820368</v>
      </c>
      <c r="K118" s="26" t="s">
        <v>298</v>
      </c>
      <c r="L118" s="26" t="s">
        <v>382</v>
      </c>
      <c r="M118" s="29" t="str">
        <f t="array" ref="M118">IF(F118&gt;30%,"YES","NO")</f>
        <v>YES</v>
      </c>
      <c r="N118" s="29" t="str">
        <f t="array" ref="N118">IF(H118&lt;30%,"YES","NO")</f>
        <v>YES</v>
      </c>
      <c r="O118" s="29" t="str">
        <f t="array" ref="O118"> if(AND(D118&lt;65,M118="NO",N118="NO"),"GOOD STOCK","")</f>
        <v/>
      </c>
      <c r="P118" s="29" t="str">
        <f t="array" ref="P118"> ifs((B118/$B$2)*100&gt;=60,"Large cap stocks",and((B118/$B$2)*100&lt;60,(B118/$B$2)*100&gt;40),"Medium cap stocks",(B118/$B$2)*100&lt;40,"Small cap stocks")</f>
        <v>Small cap stocks</v>
      </c>
    </row>
    <row r="119">
      <c r="A119" s="26" t="str">
        <f>IFERROR(__xludf.DUMMYFUNCTION("""COMPUTED_VALUE"""),"Happiest Mind")</f>
        <v>Happiest Mind</v>
      </c>
      <c r="B119" s="27">
        <f>IFERROR(__xludf.DUMMYFUNCTION("""COMPUTED_VALUE"""),12642.1534329)</f>
        <v>12642.15343</v>
      </c>
      <c r="C119" s="26">
        <f>IFERROR(__xludf.DUMMYFUNCTION("""COMPUTED_VALUE"""),885.05)</f>
        <v>885.05</v>
      </c>
      <c r="D119" s="26">
        <f>IFERROR(__xludf.DUMMYFUNCTION("""COMPUTED_VALUE"""),59.08)</f>
        <v>59.08</v>
      </c>
      <c r="E119" s="26">
        <f>IFERROR(__xludf.DUMMYFUNCTION("""COMPUTED_VALUE"""),1359.85)</f>
        <v>1359.85</v>
      </c>
      <c r="F119" s="28">
        <f>IFERROR(__xludf.DUMMYFUNCTION("""COMPUTED_VALUE"""),0.34915615692907304)</f>
        <v>0.3491561569</v>
      </c>
      <c r="G119" s="26">
        <f>IFERROR(__xludf.DUMMYFUNCTION("""COMPUTED_VALUE"""),785.55)</f>
        <v>785.55</v>
      </c>
      <c r="H119" s="28">
        <f>IFERROR(__xludf.DUMMYFUNCTION("""COMPUTED_VALUE"""),0.12666284768633443)</f>
        <v>0.1266628477</v>
      </c>
      <c r="I119" s="26">
        <f>IFERROR(__xludf.DUMMYFUNCTION("""COMPUTED_VALUE"""),884.65)</f>
        <v>884.65</v>
      </c>
      <c r="J119" s="28">
        <f>IFERROR(__xludf.DUMMYFUNCTION("""COMPUTED_VALUE"""),4.5215621997397534E-4)</f>
        <v>0.00045215622</v>
      </c>
      <c r="K119" s="26" t="s">
        <v>233</v>
      </c>
      <c r="L119" s="26" t="s">
        <v>383</v>
      </c>
      <c r="M119" s="29" t="str">
        <f t="array" ref="M119">IF(F119&gt;30%,"YES","NO")</f>
        <v>YES</v>
      </c>
      <c r="N119" s="29" t="str">
        <f t="array" ref="N119">IF(H119&lt;30%,"YES","NO")</f>
        <v>YES</v>
      </c>
      <c r="O119" s="29" t="str">
        <f t="array" ref="O119"> if(AND(D119&lt;65,M119="NO",N119="NO"),"GOOD STOCK","")</f>
        <v/>
      </c>
      <c r="P119" s="29" t="str">
        <f t="array" ref="P119"> ifs((B119/$B$2)*100&gt;=60,"Large cap stocks",and((B119/$B$2)*100&lt;60,(B119/$B$2)*100&gt;40),"Medium cap stocks",(B119/$B$2)*100&lt;40,"Small cap stocks")</f>
        <v>Small cap stocks</v>
      </c>
    </row>
    <row r="120">
      <c r="A120" s="26" t="str">
        <f>IFERROR(__xludf.DUMMYFUNCTION("""COMPUTED_VALUE"""),"Sheela Form")</f>
        <v>Sheela Form</v>
      </c>
      <c r="B120" s="27">
        <f>IFERROR(__xludf.DUMMYFUNCTION("""COMPUTED_VALUE"""),12260.1)</f>
        <v>12260.1</v>
      </c>
      <c r="C120" s="26">
        <f>IFERROR(__xludf.DUMMYFUNCTION("""COMPUTED_VALUE"""),1260.0)</f>
        <v>1260</v>
      </c>
      <c r="D120" s="26">
        <f>IFERROR(__xludf.DUMMYFUNCTION("""COMPUTED_VALUE"""),57.79)</f>
        <v>57.79</v>
      </c>
      <c r="E120" s="26">
        <f>IFERROR(__xludf.DUMMYFUNCTION("""COMPUTED_VALUE"""),2027.0)</f>
        <v>2027</v>
      </c>
      <c r="F120" s="28">
        <f>IFERROR(__xludf.DUMMYFUNCTION("""COMPUTED_VALUE"""),0.37839171188949183)</f>
        <v>0.3783917119</v>
      </c>
      <c r="G120" s="26">
        <f>IFERROR(__xludf.DUMMYFUNCTION("""COMPUTED_VALUE"""),1204.15)</f>
        <v>1204.15</v>
      </c>
      <c r="H120" s="28">
        <f>IFERROR(__xludf.DUMMYFUNCTION("""COMPUTED_VALUE"""),0.046381264792592206)</f>
        <v>0.04638126479</v>
      </c>
      <c r="I120" s="26">
        <f>IFERROR(__xludf.DUMMYFUNCTION("""COMPUTED_VALUE"""),1251.3)</f>
        <v>1251.3</v>
      </c>
      <c r="J120" s="28">
        <f>IFERROR(__xludf.DUMMYFUNCTION("""COMPUTED_VALUE"""),0.006952769120115117)</f>
        <v>0.00695276912</v>
      </c>
      <c r="K120" s="26" t="s">
        <v>384</v>
      </c>
      <c r="L120" s="26" t="s">
        <v>385</v>
      </c>
      <c r="M120" s="29" t="str">
        <f t="array" ref="M120">IF(F120&gt;30%,"YES","NO")</f>
        <v>YES</v>
      </c>
      <c r="N120" s="29" t="str">
        <f t="array" ref="N120">IF(H120&lt;30%,"YES","NO")</f>
        <v>YES</v>
      </c>
      <c r="O120" s="29" t="str">
        <f t="array" ref="O120"> if(AND(D120&lt;65,M120="NO",N120="NO"),"GOOD STOCK","")</f>
        <v/>
      </c>
      <c r="P120" s="29" t="str">
        <f t="array" ref="P120"> ifs((B120/$B$2)*100&gt;=60,"Large cap stocks",and((B120/$B$2)*100&lt;60,(B120/$B$2)*100&gt;40),"Medium cap stocks",(B120/$B$2)*100&lt;40,"Small cap stocks")</f>
        <v>Small cap stocks</v>
      </c>
    </row>
    <row r="121">
      <c r="A121" s="26" t="str">
        <f>IFERROR(__xludf.DUMMYFUNCTION("""COMPUTED_VALUE"""),"Century Plyboard")</f>
        <v>Century Plyboard</v>
      </c>
      <c r="B121" s="27">
        <f>IFERROR(__xludf.DUMMYFUNCTION("""COMPUTED_VALUE"""),11658.528175)</f>
        <v>11658.52818</v>
      </c>
      <c r="C121" s="26">
        <f>IFERROR(__xludf.DUMMYFUNCTION("""COMPUTED_VALUE"""),523.9)</f>
        <v>523.9</v>
      </c>
      <c r="D121" s="26">
        <f>IFERROR(__xludf.DUMMYFUNCTION("""COMPUTED_VALUE"""),31.54)</f>
        <v>31.54</v>
      </c>
      <c r="E121" s="26">
        <f>IFERROR(__xludf.DUMMYFUNCTION("""COMPUTED_VALUE"""),749.0)</f>
        <v>749</v>
      </c>
      <c r="F121" s="28">
        <f>IFERROR(__xludf.DUMMYFUNCTION("""COMPUTED_VALUE"""),0.30053404539385853)</f>
        <v>0.3005340454</v>
      </c>
      <c r="G121" s="26">
        <f>IFERROR(__xludf.DUMMYFUNCTION("""COMPUTED_VALUE"""),484.7)</f>
        <v>484.7</v>
      </c>
      <c r="H121" s="28">
        <f>IFERROR(__xludf.DUMMYFUNCTION("""COMPUTED_VALUE"""),0.08087476789766863)</f>
        <v>0.0808747679</v>
      </c>
      <c r="I121" s="26">
        <f>IFERROR(__xludf.DUMMYFUNCTION("""COMPUTED_VALUE"""),517.65)</f>
        <v>517.65</v>
      </c>
      <c r="J121" s="28">
        <f>IFERROR(__xludf.DUMMYFUNCTION("""COMPUTED_VALUE"""),0.012073795035255483)</f>
        <v>0.01207379504</v>
      </c>
      <c r="K121" s="26" t="s">
        <v>386</v>
      </c>
      <c r="L121" s="26" t="s">
        <v>387</v>
      </c>
      <c r="M121" s="29" t="str">
        <f t="array" ref="M121">IF(F121&gt;30%,"YES","NO")</f>
        <v>YES</v>
      </c>
      <c r="N121" s="29" t="str">
        <f t="array" ref="N121">IF(H121&lt;30%,"YES","NO")</f>
        <v>YES</v>
      </c>
      <c r="O121" s="29" t="str">
        <f t="array" ref="O121"> if(AND(D121&lt;65,M121="NO",N121="NO"),"GOOD STOCK","")</f>
        <v/>
      </c>
      <c r="P121" s="29" t="str">
        <f t="array" ref="P121"> ifs((B121/$B$2)*100&gt;=60,"Large cap stocks",and((B121/$B$2)*100&lt;60,(B121/$B$2)*100&gt;40),"Medium cap stocks",(B121/$B$2)*100&lt;40,"Small cap stocks")</f>
        <v>Small cap stocks</v>
      </c>
    </row>
    <row r="122">
      <c r="A122" s="26" t="str">
        <f>IFERROR(__xludf.DUMMYFUNCTION("""COMPUTED_VALUE"""),"CDSL")</f>
        <v>CDSL</v>
      </c>
      <c r="B122" s="27">
        <f>IFERROR(__xludf.DUMMYFUNCTION("""COMPUTED_VALUE"""),11261.44)</f>
        <v>11261.44</v>
      </c>
      <c r="C122" s="26">
        <f>IFERROR(__xludf.DUMMYFUNCTION("""COMPUTED_VALUE"""),1077.9)</f>
        <v>1077.9</v>
      </c>
      <c r="D122" s="26">
        <f>IFERROR(__xludf.DUMMYFUNCTION("""COMPUTED_VALUE"""),37.61)</f>
        <v>37.61</v>
      </c>
      <c r="E122" s="26">
        <f>IFERROR(__xludf.DUMMYFUNCTION("""COMPUTED_VALUE"""),1654.0)</f>
        <v>1654</v>
      </c>
      <c r="F122" s="28">
        <f>IFERROR(__xludf.DUMMYFUNCTION("""COMPUTED_VALUE"""),0.3483071342200725)</f>
        <v>0.3483071342</v>
      </c>
      <c r="G122" s="26">
        <f>IFERROR(__xludf.DUMMYFUNCTION("""COMPUTED_VALUE"""),1015.0)</f>
        <v>1015</v>
      </c>
      <c r="H122" s="28">
        <f>IFERROR(__xludf.DUMMYFUNCTION("""COMPUTED_VALUE"""),0.06197044334975378)</f>
        <v>0.06197044335</v>
      </c>
      <c r="I122" s="26">
        <f>IFERROR(__xludf.DUMMYFUNCTION("""COMPUTED_VALUE"""),1078.65)</f>
        <v>1078.65</v>
      </c>
      <c r="J122" s="28">
        <f>IFERROR(__xludf.DUMMYFUNCTION("""COMPUTED_VALUE"""),-6.953135864274788E-4)</f>
        <v>-0.0006953135864</v>
      </c>
      <c r="K122" s="26" t="s">
        <v>298</v>
      </c>
      <c r="L122" s="26" t="s">
        <v>109</v>
      </c>
      <c r="M122" s="29" t="str">
        <f t="array" ref="M122">IF(F122&gt;30%,"YES","NO")</f>
        <v>YES</v>
      </c>
      <c r="N122" s="29" t="str">
        <f t="array" ref="N122">IF(H122&lt;30%,"YES","NO")</f>
        <v>YES</v>
      </c>
      <c r="O122" s="29" t="str">
        <f t="array" ref="O122"> if(AND(D122&lt;65,M122="NO",N122="NO"),"GOOD STOCK","")</f>
        <v/>
      </c>
      <c r="P122" s="29" t="str">
        <f t="array" ref="P122"> ifs((B122/$B$2)*100&gt;=60,"Large cap stocks",and((B122/$B$2)*100&lt;60,(B122/$B$2)*100&gt;40),"Medium cap stocks",(B122/$B$2)*100&lt;40,"Small cap stocks")</f>
        <v>Small cap stocks</v>
      </c>
    </row>
    <row r="123">
      <c r="A123" s="26" t="str">
        <f>IFERROR(__xludf.DUMMYFUNCTION("""COMPUTED_VALUE"""),"CAMS")</f>
        <v>CAMS</v>
      </c>
      <c r="B123" s="27">
        <f>IFERROR(__xludf.DUMMYFUNCTION("""COMPUTED_VALUE"""),11180.9471528)</f>
        <v>11180.94715</v>
      </c>
      <c r="C123" s="26">
        <f>IFERROR(__xludf.DUMMYFUNCTION("""COMPUTED_VALUE"""),2274.0)</f>
        <v>2274</v>
      </c>
      <c r="D123" s="26">
        <f>IFERROR(__xludf.DUMMYFUNCTION("""COMPUTED_VALUE"""),38.87)</f>
        <v>38.87</v>
      </c>
      <c r="E123" s="26">
        <f>IFERROR(__xludf.DUMMYFUNCTION("""COMPUTED_VALUE"""),2971.5)</f>
        <v>2971.5</v>
      </c>
      <c r="F123" s="28">
        <f>IFERROR(__xludf.DUMMYFUNCTION("""COMPUTED_VALUE"""),0.2347299343765775)</f>
        <v>0.2347299344</v>
      </c>
      <c r="G123" s="26">
        <f>IFERROR(__xludf.DUMMYFUNCTION("""COMPUTED_VALUE"""),2037.15)</f>
        <v>2037.15</v>
      </c>
      <c r="H123" s="28">
        <f>IFERROR(__xludf.DUMMYFUNCTION("""COMPUTED_VALUE"""),0.11626537073853173)</f>
        <v>0.1162653707</v>
      </c>
      <c r="I123" s="26">
        <f>IFERROR(__xludf.DUMMYFUNCTION("""COMPUTED_VALUE"""),2235.75)</f>
        <v>2235.75</v>
      </c>
      <c r="J123" s="28">
        <f>IFERROR(__xludf.DUMMYFUNCTION("""COMPUTED_VALUE"""),0.017108352901710835)</f>
        <v>0.0171083529</v>
      </c>
      <c r="K123" s="26" t="s">
        <v>298</v>
      </c>
      <c r="L123" s="26" t="s">
        <v>388</v>
      </c>
      <c r="M123" s="29" t="str">
        <f t="array" ref="M123">IF(F123&gt;30%,"YES","NO")</f>
        <v>NO</v>
      </c>
      <c r="N123" s="29" t="str">
        <f t="array" ref="N123">IF(H123&lt;30%,"YES","NO")</f>
        <v>YES</v>
      </c>
      <c r="O123" s="29" t="str">
        <f t="array" ref="O123"> if(AND(D123&lt;65,M123="NO",N123="NO"),"GOOD STOCK","")</f>
        <v/>
      </c>
      <c r="P123" s="29" t="str">
        <f t="array" ref="P123"> ifs((B123/$B$2)*100&gt;=60,"Large cap stocks",and((B123/$B$2)*100&lt;60,(B123/$B$2)*100&gt;40),"Medium cap stocks",(B123/$B$2)*100&lt;40,"Small cap stocks")</f>
        <v>Small cap stocks</v>
      </c>
    </row>
    <row r="124">
      <c r="A124" s="26" t="str">
        <f>IFERROR(__xludf.DUMMYFUNCTION("""COMPUTED_VALUE"""),"HDFC Bank")</f>
        <v>HDFC Bank</v>
      </c>
      <c r="B124" s="27">
        <f>IFERROR(__xludf.DUMMYFUNCTION("""COMPUTED_VALUE"""),11060.0657861)</f>
        <v>11060.06579</v>
      </c>
      <c r="C124" s="26">
        <f>IFERROR(__xludf.DUMMYFUNCTION("""COMPUTED_VALUE"""),1601.0)</f>
        <v>1601</v>
      </c>
      <c r="D124" s="26">
        <f>IFERROR(__xludf.DUMMYFUNCTION("""COMPUTED_VALUE"""),21.39)</f>
        <v>21.39</v>
      </c>
      <c r="E124" s="26">
        <f>IFERROR(__xludf.DUMMYFUNCTION("""COMPUTED_VALUE"""),1722.1)</f>
        <v>1722.1</v>
      </c>
      <c r="F124" s="28">
        <f>IFERROR(__xludf.DUMMYFUNCTION("""COMPUTED_VALUE"""),0.0703211195633238)</f>
        <v>0.07032111956</v>
      </c>
      <c r="G124" s="26">
        <f>IFERROR(__xludf.DUMMYFUNCTION("""COMPUTED_VALUE"""),1271.6)</f>
        <v>1271.6</v>
      </c>
      <c r="H124" s="28">
        <f>IFERROR(__xludf.DUMMYFUNCTION("""COMPUTED_VALUE"""),0.2590437244416484)</f>
        <v>0.2590437244</v>
      </c>
      <c r="I124" s="26">
        <f>IFERROR(__xludf.DUMMYFUNCTION("""COMPUTED_VALUE"""),1599.4)</f>
        <v>1599.4</v>
      </c>
      <c r="J124" s="28">
        <f>IFERROR(__xludf.DUMMYFUNCTION("""COMPUTED_VALUE"""),0.0010003751406776973)</f>
        <v>0.001000375141</v>
      </c>
      <c r="K124" s="26" t="s">
        <v>237</v>
      </c>
      <c r="L124" s="26" t="s">
        <v>389</v>
      </c>
      <c r="M124" s="29" t="str">
        <f t="array" ref="M124">IF(F124&gt;30%,"YES","NO")</f>
        <v>NO</v>
      </c>
      <c r="N124" s="29" t="str">
        <f t="array" ref="N124">IF(H124&lt;30%,"YES","NO")</f>
        <v>YES</v>
      </c>
      <c r="O124" s="29" t="str">
        <f t="array" ref="O124"> if(AND(D124&lt;65,M124="NO",N124="NO"),"GOOD STOCK","")</f>
        <v/>
      </c>
      <c r="P124" s="29" t="str">
        <f t="array" ref="P124"> ifs((B124/$B$2)*100&gt;=60,"Large cap stocks",and((B124/$B$2)*100&lt;60,(B124/$B$2)*100&gt;40),"Medium cap stocks",(B124/$B$2)*100&lt;40,"Small cap stocks")</f>
        <v>Small cap stocks</v>
      </c>
    </row>
    <row r="125">
      <c r="A125" s="26" t="str">
        <f>IFERROR(__xludf.DUMMYFUNCTION("""COMPUTED_VALUE"""),"TTK Prestige")</f>
        <v>TTK Prestige</v>
      </c>
      <c r="B125" s="27">
        <f>IFERROR(__xludf.DUMMYFUNCTION("""COMPUTED_VALUE"""),10943.5753)</f>
        <v>10943.5753</v>
      </c>
      <c r="C125" s="26">
        <f>IFERROR(__xludf.DUMMYFUNCTION("""COMPUTED_VALUE"""),789.5)</f>
        <v>789.5</v>
      </c>
      <c r="D125" s="26">
        <f>IFERROR(__xludf.DUMMYFUNCTION("""COMPUTED_VALUE"""),35.54)</f>
        <v>35.54</v>
      </c>
      <c r="E125" s="26">
        <f>IFERROR(__xludf.DUMMYFUNCTION("""COMPUTED_VALUE"""),1049.9)</f>
        <v>1049.9</v>
      </c>
      <c r="F125" s="28">
        <f>IFERROR(__xludf.DUMMYFUNCTION("""COMPUTED_VALUE"""),0.24802362129726646)</f>
        <v>0.2480236213</v>
      </c>
      <c r="G125" s="26">
        <f>IFERROR(__xludf.DUMMYFUNCTION("""COMPUTED_VALUE"""),744.7)</f>
        <v>744.7</v>
      </c>
      <c r="H125" s="28">
        <f>IFERROR(__xludf.DUMMYFUNCTION("""COMPUTED_VALUE"""),0.060158453068349604)</f>
        <v>0.06015845307</v>
      </c>
      <c r="I125" s="26">
        <f>IFERROR(__xludf.DUMMYFUNCTION("""COMPUTED_VALUE"""),794.05)</f>
        <v>794.05</v>
      </c>
      <c r="J125" s="28">
        <f>IFERROR(__xludf.DUMMYFUNCTION("""COMPUTED_VALUE"""),-0.005730117750771305)</f>
        <v>-0.005730117751</v>
      </c>
      <c r="K125" s="26" t="s">
        <v>282</v>
      </c>
      <c r="L125" s="26" t="s">
        <v>390</v>
      </c>
      <c r="M125" s="29" t="str">
        <f t="array" ref="M125">IF(F125&gt;30%,"YES","NO")</f>
        <v>NO</v>
      </c>
      <c r="N125" s="29" t="str">
        <f t="array" ref="N125">IF(H125&lt;30%,"YES","NO")</f>
        <v>YES</v>
      </c>
      <c r="O125" s="29" t="str">
        <f t="array" ref="O125"> if(AND(D125&lt;65,M125="NO",N125="NO"),"GOOD STOCK","")</f>
        <v/>
      </c>
      <c r="P125" s="29" t="str">
        <f t="array" ref="P125"> ifs((B125/$B$2)*100&gt;=60,"Large cap stocks",and((B125/$B$2)*100&lt;60,(B125/$B$2)*100&gt;40),"Medium cap stocks",(B125/$B$2)*100&lt;40,"Small cap stocks")</f>
        <v>Small cap stocks</v>
      </c>
    </row>
    <row r="126">
      <c r="A126" s="26" t="str">
        <f>IFERROR(__xludf.DUMMYFUNCTION("""COMPUTED_VALUE"""),"Alembic Pharma")</f>
        <v>Alembic Pharma</v>
      </c>
      <c r="B126" s="27">
        <f>IFERROR(__xludf.DUMMYFUNCTION("""COMPUTED_VALUE"""),10913.18)</f>
        <v>10913.18</v>
      </c>
      <c r="C126" s="26">
        <f>IFERROR(__xludf.DUMMYFUNCTION("""COMPUTED_VALUE"""),555.0)</f>
        <v>555</v>
      </c>
      <c r="D126" s="26">
        <f>IFERROR(__xludf.DUMMYFUNCTION("""COMPUTED_VALUE"""),42.84)</f>
        <v>42.84</v>
      </c>
      <c r="E126" s="26">
        <f>IFERROR(__xludf.DUMMYFUNCTION("""COMPUTED_VALUE"""),822.8)</f>
        <v>822.8</v>
      </c>
      <c r="F126" s="28">
        <f>IFERROR(__xludf.DUMMYFUNCTION("""COMPUTED_VALUE"""),0.3254739912493923)</f>
        <v>0.3254739912</v>
      </c>
      <c r="G126" s="26">
        <f>IFERROR(__xludf.DUMMYFUNCTION("""COMPUTED_VALUE"""),540.0)</f>
        <v>540</v>
      </c>
      <c r="H126" s="28">
        <f>IFERROR(__xludf.DUMMYFUNCTION("""COMPUTED_VALUE"""),0.027777777777777776)</f>
        <v>0.02777777778</v>
      </c>
      <c r="I126" s="26">
        <f>IFERROR(__xludf.DUMMYFUNCTION("""COMPUTED_VALUE"""),557.4)</f>
        <v>557.4</v>
      </c>
      <c r="J126" s="28">
        <f>IFERROR(__xludf.DUMMYFUNCTION("""COMPUTED_VALUE"""),-0.004305705059203404)</f>
        <v>-0.004305705059</v>
      </c>
      <c r="K126" s="26" t="s">
        <v>254</v>
      </c>
      <c r="L126" s="26" t="s">
        <v>391</v>
      </c>
      <c r="M126" s="29" t="str">
        <f t="array" ref="M126">IF(F126&gt;30%,"YES","NO")</f>
        <v>YES</v>
      </c>
      <c r="N126" s="29" t="str">
        <f t="array" ref="N126">IF(H126&lt;30%,"YES","NO")</f>
        <v>YES</v>
      </c>
      <c r="O126" s="29" t="str">
        <f t="array" ref="O126"> if(AND(D126&lt;65,M126="NO",N126="NO"),"GOOD STOCK","")</f>
        <v/>
      </c>
      <c r="P126" s="29" t="str">
        <f t="array" ref="P126"> ifs((B126/$B$2)*100&gt;=60,"Large cap stocks",and((B126/$B$2)*100&lt;60,(B126/$B$2)*100&gt;40),"Medium cap stocks",(B126/$B$2)*100&lt;40,"Small cap stocks")</f>
        <v>Small cap stocks</v>
      </c>
    </row>
    <row r="127">
      <c r="A127" s="26" t="str">
        <f>IFERROR(__xludf.DUMMYFUNCTION("""COMPUTED_VALUE"""),"Finolex Industries")</f>
        <v>Finolex Industries</v>
      </c>
      <c r="B127" s="27">
        <f>IFERROR(__xludf.DUMMYFUNCTION("""COMPUTED_VALUE"""),10644.74)</f>
        <v>10644.74</v>
      </c>
      <c r="C127" s="26">
        <f>IFERROR(__xludf.DUMMYFUNCTION("""COMPUTED_VALUE"""),173.0)</f>
        <v>173</v>
      </c>
      <c r="D127" s="26">
        <f>IFERROR(__xludf.DUMMYFUNCTION("""COMPUTED_VALUE"""),15.85)</f>
        <v>15.85</v>
      </c>
      <c r="E127" s="26">
        <f>IFERROR(__xludf.DUMMYFUNCTION("""COMPUTED_VALUE"""),204.5)</f>
        <v>204.5</v>
      </c>
      <c r="F127" s="28">
        <f>IFERROR(__xludf.DUMMYFUNCTION("""COMPUTED_VALUE"""),0.15403422982885084)</f>
        <v>0.1540342298</v>
      </c>
      <c r="G127" s="26">
        <f>IFERROR(__xludf.DUMMYFUNCTION("""COMPUTED_VALUE"""),128.0)</f>
        <v>128</v>
      </c>
      <c r="H127" s="28">
        <f>IFERROR(__xludf.DUMMYFUNCTION("""COMPUTED_VALUE"""),0.3515625)</f>
        <v>0.3515625</v>
      </c>
      <c r="I127" s="26">
        <f>IFERROR(__xludf.DUMMYFUNCTION("""COMPUTED_VALUE"""),170.9)</f>
        <v>170.9</v>
      </c>
      <c r="J127" s="28">
        <f>IFERROR(__xludf.DUMMYFUNCTION("""COMPUTED_VALUE"""),0.012287887653598561)</f>
        <v>0.01228788765</v>
      </c>
      <c r="K127" s="26" t="s">
        <v>312</v>
      </c>
      <c r="L127" s="26" t="s">
        <v>392</v>
      </c>
      <c r="M127" s="29" t="str">
        <f t="array" ref="M127">IF(F127&gt;30%,"YES","NO")</f>
        <v>NO</v>
      </c>
      <c r="N127" s="29" t="str">
        <f t="array" ref="N127">IF(H127&lt;30%,"YES","NO")</f>
        <v>NO</v>
      </c>
      <c r="O127" s="29" t="str">
        <f t="array" ref="O127"> if(AND(D127&lt;65,M127="NO",N127="NO"),"GOOD STOCK","")</f>
        <v>GOOD STOCK</v>
      </c>
      <c r="P127" s="29" t="str">
        <f t="array" ref="P127"> ifs((B127/$B$2)*100&gt;=60,"Large cap stocks",and((B127/$B$2)*100&lt;60,(B127/$B$2)*100&gt;40),"Medium cap stocks",(B127/$B$2)*100&lt;40,"Small cap stocks")</f>
        <v>Small cap stocks</v>
      </c>
    </row>
    <row r="128">
      <c r="A128" s="26" t="str">
        <f>IFERROR(__xludf.DUMMYFUNCTION("""COMPUTED_VALUE"""),"Mannapuran Finance")</f>
        <v>Mannapuran Finance</v>
      </c>
      <c r="B128" s="27">
        <f>IFERROR(__xludf.DUMMYFUNCTION("""COMPUTED_VALUE"""),10287.9254057)</f>
        <v>10287.92541</v>
      </c>
      <c r="C128" s="26">
        <f>IFERROR(__xludf.DUMMYFUNCTION("""COMPUTED_VALUE"""),121.55)</f>
        <v>121.55</v>
      </c>
      <c r="D128" s="26">
        <f>IFERROR(__xludf.DUMMYFUNCTION("""COMPUTED_VALUE"""),8.7)</f>
        <v>8.7</v>
      </c>
      <c r="E128" s="26">
        <f>IFERROR(__xludf.DUMMYFUNCTION("""COMPUTED_VALUE"""),173.75)</f>
        <v>173.75</v>
      </c>
      <c r="F128" s="28">
        <f>IFERROR(__xludf.DUMMYFUNCTION("""COMPUTED_VALUE"""),0.300431654676259)</f>
        <v>0.3004316547</v>
      </c>
      <c r="G128" s="26">
        <f>IFERROR(__xludf.DUMMYFUNCTION("""COMPUTED_VALUE"""),81.5)</f>
        <v>81.5</v>
      </c>
      <c r="H128" s="28">
        <f>IFERROR(__xludf.DUMMYFUNCTION("""COMPUTED_VALUE"""),0.4914110429447852)</f>
        <v>0.4914110429</v>
      </c>
      <c r="I128" s="26">
        <f>IFERROR(__xludf.DUMMYFUNCTION("""COMPUTED_VALUE"""),120.15)</f>
        <v>120.15</v>
      </c>
      <c r="J128" s="28">
        <f>IFERROR(__xludf.DUMMYFUNCTION("""COMPUTED_VALUE"""),0.011652101539741918)</f>
        <v>0.01165210154</v>
      </c>
      <c r="K128" s="26" t="s">
        <v>244</v>
      </c>
      <c r="L128" s="26" t="s">
        <v>393</v>
      </c>
      <c r="M128" s="29" t="str">
        <f t="array" ref="M128">IF(F128&gt;30%,"YES","NO")</f>
        <v>YES</v>
      </c>
      <c r="N128" s="29" t="str">
        <f t="array" ref="N128">IF(H128&lt;30%,"YES","NO")</f>
        <v>NO</v>
      </c>
      <c r="O128" s="29" t="str">
        <f t="array" ref="O128"> if(AND(D128&lt;65,M128="NO",N128="NO"),"GOOD STOCK","")</f>
        <v/>
      </c>
      <c r="P128" s="29" t="str">
        <f t="array" ref="P128"> ifs((B128/$B$2)*100&gt;=60,"Large cap stocks",and((B128/$B$2)*100&lt;60,(B128/$B$2)*100&gt;40),"Medium cap stocks",(B128/$B$2)*100&lt;40,"Small cap stocks")</f>
        <v>Small cap stocks</v>
      </c>
    </row>
    <row r="129">
      <c r="A129" s="26" t="str">
        <f>IFERROR(__xludf.DUMMYFUNCTION("""COMPUTED_VALUE"""),"UTI AMC")</f>
        <v>UTI AMC</v>
      </c>
      <c r="B129" s="27">
        <f>IFERROR(__xludf.DUMMYFUNCTION("""COMPUTED_VALUE"""),10284.2865)</f>
        <v>10284.2865</v>
      </c>
      <c r="C129" s="26">
        <f>IFERROR(__xludf.DUMMYFUNCTION("""COMPUTED_VALUE"""),807.2)</f>
        <v>807.2</v>
      </c>
      <c r="D129" s="26">
        <f>IFERROR(__xludf.DUMMYFUNCTION("""COMPUTED_VALUE"""),21.59)</f>
        <v>21.59</v>
      </c>
      <c r="E129" s="26">
        <f>IFERROR(__xludf.DUMMYFUNCTION("""COMPUTED_VALUE"""),1096.05)</f>
        <v>1096.05</v>
      </c>
      <c r="F129" s="28">
        <f>IFERROR(__xludf.DUMMYFUNCTION("""COMPUTED_VALUE"""),0.263537247388349)</f>
        <v>0.2635372474</v>
      </c>
      <c r="G129" s="26">
        <f>IFERROR(__xludf.DUMMYFUNCTION("""COMPUTED_VALUE"""),595.0)</f>
        <v>595</v>
      </c>
      <c r="H129" s="28">
        <f>IFERROR(__xludf.DUMMYFUNCTION("""COMPUTED_VALUE"""),0.35663865546218493)</f>
        <v>0.3566386555</v>
      </c>
      <c r="I129" s="26">
        <f>IFERROR(__xludf.DUMMYFUNCTION("""COMPUTED_VALUE"""),812.9)</f>
        <v>812.9</v>
      </c>
      <c r="J129" s="28">
        <f>IFERROR(__xludf.DUMMYFUNCTION("""COMPUTED_VALUE"""),-0.007011932587033992)</f>
        <v>-0.007011932587</v>
      </c>
      <c r="K129" s="26" t="s">
        <v>302</v>
      </c>
      <c r="L129" s="26" t="s">
        <v>394</v>
      </c>
      <c r="M129" s="29" t="str">
        <f t="array" ref="M129">IF(F129&gt;30%,"YES","NO")</f>
        <v>NO</v>
      </c>
      <c r="N129" s="29" t="str">
        <f t="array" ref="N129">IF(H129&lt;30%,"YES","NO")</f>
        <v>NO</v>
      </c>
      <c r="O129" s="29" t="str">
        <f t="array" ref="O129"> if(AND(D129&lt;65,M129="NO",N129="NO"),"GOOD STOCK","")</f>
        <v>GOOD STOCK</v>
      </c>
      <c r="P129" s="29" t="str">
        <f t="array" ref="P129"> ifs((B129/$B$2)*100&gt;=60,"Large cap stocks",and((B129/$B$2)*100&lt;60,(B129/$B$2)*100&gt;40),"Medium cap stocks",(B129/$B$2)*100&lt;40,"Small cap stocks")</f>
        <v>Small cap stocks</v>
      </c>
    </row>
    <row r="130">
      <c r="A130" s="26" t="str">
        <f>IFERROR(__xludf.DUMMYFUNCTION("""COMPUTED_VALUE"""),"HFCL")</f>
        <v>HFCL</v>
      </c>
      <c r="B130" s="27">
        <f>IFERROR(__xludf.DUMMYFUNCTION("""COMPUTED_VALUE"""),10126.79307)</f>
        <v>10126.79307</v>
      </c>
      <c r="C130" s="26">
        <f>IFERROR(__xludf.DUMMYFUNCTION("""COMPUTED_VALUE"""),73.6)</f>
        <v>73.6</v>
      </c>
      <c r="D130" s="26">
        <f>IFERROR(__xludf.DUMMYFUNCTION("""COMPUTED_VALUE"""),36.15)</f>
        <v>36.15</v>
      </c>
      <c r="E130" s="26">
        <f>IFERROR(__xludf.DUMMYFUNCTION("""COMPUTED_VALUE"""),101.35)</f>
        <v>101.35</v>
      </c>
      <c r="F130" s="28">
        <f>IFERROR(__xludf.DUMMYFUNCTION("""COMPUTED_VALUE"""),0.2738036507153429)</f>
        <v>0.2738036507</v>
      </c>
      <c r="G130" s="26">
        <f>IFERROR(__xludf.DUMMYFUNCTION("""COMPUTED_VALUE"""),51.55)</f>
        <v>51.55</v>
      </c>
      <c r="H130" s="28">
        <f>IFERROR(__xludf.DUMMYFUNCTION("""COMPUTED_VALUE"""),0.42774005819592625)</f>
        <v>0.4277400582</v>
      </c>
      <c r="I130" s="26">
        <f>IFERROR(__xludf.DUMMYFUNCTION("""COMPUTED_VALUE"""),72.4)</f>
        <v>72.4</v>
      </c>
      <c r="J130" s="28">
        <f>IFERROR(__xludf.DUMMYFUNCTION("""COMPUTED_VALUE"""),0.01657458563535896)</f>
        <v>0.01657458564</v>
      </c>
      <c r="K130" s="26" t="s">
        <v>242</v>
      </c>
      <c r="L130" s="26" t="s">
        <v>395</v>
      </c>
      <c r="M130" s="29" t="str">
        <f t="array" ref="M130">IF(F130&gt;30%,"YES","NO")</f>
        <v>NO</v>
      </c>
      <c r="N130" s="29" t="str">
        <f t="array" ref="N130">IF(H130&lt;30%,"YES","NO")</f>
        <v>NO</v>
      </c>
      <c r="O130" s="29" t="str">
        <f t="array" ref="O130"> if(AND(D130&lt;65,M130="NO",N130="NO"),"GOOD STOCK","")</f>
        <v>GOOD STOCK</v>
      </c>
      <c r="P130" s="29" t="str">
        <f t="array" ref="P130"> ifs((B130/$B$2)*100&gt;=60,"Large cap stocks",and((B130/$B$2)*100&lt;60,(B130/$B$2)*100&gt;40),"Medium cap stocks",(B130/$B$2)*100&lt;40,"Small cap stocks")</f>
        <v>Small cap stocks</v>
      </c>
    </row>
    <row r="131">
      <c r="A131" s="26" t="str">
        <f>IFERROR(__xludf.DUMMYFUNCTION("""COMPUTED_VALUE"""),"Tanla Platform")</f>
        <v>Tanla Platform</v>
      </c>
      <c r="B131" s="27">
        <f>IFERROR(__xludf.DUMMYFUNCTION("""COMPUTED_VALUE"""),9951.4177429)</f>
        <v>9951.417743</v>
      </c>
      <c r="C131" s="26">
        <f>IFERROR(__xludf.DUMMYFUNCTION("""COMPUTED_VALUE"""),731.9)</f>
        <v>731.9</v>
      </c>
      <c r="D131" s="26">
        <f>IFERROR(__xludf.DUMMYFUNCTION("""COMPUTED_VALUE"""),19.49)</f>
        <v>19.49</v>
      </c>
      <c r="E131" s="26">
        <f>IFERROR(__xludf.DUMMYFUNCTION("""COMPUTED_VALUE"""),2094.4)</f>
        <v>2094.4</v>
      </c>
      <c r="F131" s="28">
        <f>IFERROR(__xludf.DUMMYFUNCTION("""COMPUTED_VALUE"""),0.6505443086325439)</f>
        <v>0.6505443086</v>
      </c>
      <c r="G131" s="26">
        <f>IFERROR(__xludf.DUMMYFUNCTION("""COMPUTED_VALUE"""),584.8)</f>
        <v>584.8</v>
      </c>
      <c r="H131" s="28">
        <f>IFERROR(__xludf.DUMMYFUNCTION("""COMPUTED_VALUE"""),0.25153898768809857)</f>
        <v>0.2515389877</v>
      </c>
      <c r="I131" s="26">
        <f>IFERROR(__xludf.DUMMYFUNCTION("""COMPUTED_VALUE"""),724.3)</f>
        <v>724.3</v>
      </c>
      <c r="J131" s="28">
        <f>IFERROR(__xludf.DUMMYFUNCTION("""COMPUTED_VALUE"""),0.010492889686593985)</f>
        <v>0.01049288969</v>
      </c>
      <c r="K131" s="26" t="s">
        <v>298</v>
      </c>
      <c r="L131" s="26" t="s">
        <v>396</v>
      </c>
      <c r="M131" s="29" t="str">
        <f t="array" ref="M131">IF(F131&gt;30%,"YES","NO")</f>
        <v>YES</v>
      </c>
      <c r="N131" s="29" t="str">
        <f t="array" ref="N131">IF(H131&lt;30%,"YES","NO")</f>
        <v>YES</v>
      </c>
      <c r="O131" s="29" t="str">
        <f t="array" ref="O131"> if(AND(D131&lt;65,M131="NO",N131="NO"),"GOOD STOCK","")</f>
        <v/>
      </c>
      <c r="P131" s="29" t="str">
        <f t="array" ref="P131"> ifs((B131/$B$2)*100&gt;=60,"Large cap stocks",and((B131/$B$2)*100&lt;60,(B131/$B$2)*100&gt;40),"Medium cap stocks",(B131/$B$2)*100&lt;40,"Small cap stocks")</f>
        <v>Small cap stocks</v>
      </c>
    </row>
    <row r="132">
      <c r="A132" s="26" t="str">
        <f>IFERROR(__xludf.DUMMYFUNCTION("""COMPUTED_VALUE"""),"Amara Raja Batter")</f>
        <v>Amara Raja Batter</v>
      </c>
      <c r="B132" s="27">
        <f>IFERROR(__xludf.DUMMYFUNCTION("""COMPUTED_VALUE"""),9847.33486)</f>
        <v>9847.33486</v>
      </c>
      <c r="C132" s="26">
        <f>IFERROR(__xludf.DUMMYFUNCTION("""COMPUTED_VALUE"""),576.5)</f>
        <v>576.5</v>
      </c>
      <c r="D132" s="26">
        <f>IFERROR(__xludf.DUMMYFUNCTION("""COMPUTED_VALUE"""),17.05)</f>
        <v>17.05</v>
      </c>
      <c r="E132" s="26">
        <f>IFERROR(__xludf.DUMMYFUNCTION("""COMPUTED_VALUE"""),668.15)</f>
        <v>668.15</v>
      </c>
      <c r="F132" s="28">
        <f>IFERROR(__xludf.DUMMYFUNCTION("""COMPUTED_VALUE"""),0.13716979720122724)</f>
        <v>0.1371697972</v>
      </c>
      <c r="G132" s="26">
        <f>IFERROR(__xludf.DUMMYFUNCTION("""COMPUTED_VALUE"""),438.05)</f>
        <v>438.05</v>
      </c>
      <c r="H132" s="28">
        <f>IFERROR(__xludf.DUMMYFUNCTION("""COMPUTED_VALUE"""),0.31605981052391274)</f>
        <v>0.3160598105</v>
      </c>
      <c r="I132" s="26">
        <f>IFERROR(__xludf.DUMMYFUNCTION("""COMPUTED_VALUE"""),590.95)</f>
        <v>590.95</v>
      </c>
      <c r="J132" s="28">
        <f>IFERROR(__xludf.DUMMYFUNCTION("""COMPUTED_VALUE"""),-0.02445215331246306)</f>
        <v>-0.02445215331</v>
      </c>
      <c r="K132" s="26" t="s">
        <v>294</v>
      </c>
      <c r="L132" s="26" t="s">
        <v>397</v>
      </c>
      <c r="M132" s="29" t="str">
        <f t="array" ref="M132">IF(F132&gt;30%,"YES","NO")</f>
        <v>NO</v>
      </c>
      <c r="N132" s="29" t="str">
        <f t="array" ref="N132">IF(H132&lt;30%,"YES","NO")</f>
        <v>NO</v>
      </c>
      <c r="O132" s="29" t="str">
        <f t="array" ref="O132"> if(AND(D132&lt;65,M132="NO",N132="NO"),"GOOD STOCK","")</f>
        <v>GOOD STOCK</v>
      </c>
      <c r="P132" s="29" t="str">
        <f t="array" ref="P132"> ifs((B132/$B$2)*100&gt;=60,"Large cap stocks",and((B132/$B$2)*100&lt;60,(B132/$B$2)*100&gt;40),"Medium cap stocks",(B132/$B$2)*100&lt;40,"Small cap stocks")</f>
        <v>Small cap stocks</v>
      </c>
    </row>
    <row r="133">
      <c r="A133" s="26" t="str">
        <f>IFERROR(__xludf.DUMMYFUNCTION("""COMPUTED_VALUE"""),"Cyient")</f>
        <v>Cyient</v>
      </c>
      <c r="B133" s="27">
        <f>IFERROR(__xludf.DUMMYFUNCTION("""COMPUTED_VALUE"""),9606.1541)</f>
        <v>9606.1541</v>
      </c>
      <c r="C133" s="26">
        <f>IFERROR(__xludf.DUMMYFUNCTION("""COMPUTED_VALUE"""),876.0)</f>
        <v>876</v>
      </c>
      <c r="D133" s="26">
        <f>IFERROR(__xludf.DUMMYFUNCTION("""COMPUTED_VALUE"""),19.98)</f>
        <v>19.98</v>
      </c>
      <c r="E133" s="26">
        <f>IFERROR(__xludf.DUMMYFUNCTION("""COMPUTED_VALUE"""),1051.85)</f>
        <v>1051.85</v>
      </c>
      <c r="F133" s="28">
        <f>IFERROR(__xludf.DUMMYFUNCTION("""COMPUTED_VALUE"""),0.16718163236202874)</f>
        <v>0.1671816324</v>
      </c>
      <c r="G133" s="26">
        <f>IFERROR(__xludf.DUMMYFUNCTION("""COMPUTED_VALUE"""),720.0)</f>
        <v>720</v>
      </c>
      <c r="H133" s="28">
        <f>IFERROR(__xludf.DUMMYFUNCTION("""COMPUTED_VALUE"""),0.21666666666666667)</f>
        <v>0.2166666667</v>
      </c>
      <c r="I133" s="26">
        <f>IFERROR(__xludf.DUMMYFUNCTION("""COMPUTED_VALUE"""),883.3)</f>
        <v>883.3</v>
      </c>
      <c r="J133" s="28">
        <f>IFERROR(__xludf.DUMMYFUNCTION("""COMPUTED_VALUE"""),-0.008264462809917304)</f>
        <v>-0.00826446281</v>
      </c>
      <c r="K133" s="26" t="s">
        <v>317</v>
      </c>
      <c r="L133" s="26" t="s">
        <v>398</v>
      </c>
      <c r="M133" s="29" t="str">
        <f t="array" ref="M133">IF(F133&gt;30%,"YES","NO")</f>
        <v>NO</v>
      </c>
      <c r="N133" s="29" t="str">
        <f t="array" ref="N133">IF(H133&lt;30%,"YES","NO")</f>
        <v>YES</v>
      </c>
      <c r="O133" s="29" t="str">
        <f t="array" ref="O133"> if(AND(D133&lt;65,M133="NO",N133="NO"),"GOOD STOCK","")</f>
        <v/>
      </c>
      <c r="P133" s="29" t="str">
        <f t="array" ref="P133"> ifs((B133/$B$2)*100&gt;=60,"Large cap stocks",and((B133/$B$2)*100&lt;60,(B133/$B$2)*100&gt;40),"Medium cap stocks",(B133/$B$2)*100&lt;40,"Small cap stocks")</f>
        <v>Small cap stocks</v>
      </c>
    </row>
    <row r="134">
      <c r="A134" s="26" t="str">
        <f>IFERROR(__xludf.DUMMYFUNCTION("""COMPUTED_VALUE"""),"Astrazeneca")</f>
        <v>Astrazeneca</v>
      </c>
      <c r="B134" s="27">
        <f>IFERROR(__xludf.DUMMYFUNCTION("""COMPUTED_VALUE"""),8815.8228535)</f>
        <v>8815.822854</v>
      </c>
      <c r="C134" s="26">
        <f>IFERROR(__xludf.DUMMYFUNCTION("""COMPUTED_VALUE"""),3515.05)</f>
        <v>3515.05</v>
      </c>
      <c r="D134" s="26">
        <f>IFERROR(__xludf.DUMMYFUNCTION("""COMPUTED_VALUE"""),95.35)</f>
        <v>95.35</v>
      </c>
      <c r="E134" s="26">
        <f>IFERROR(__xludf.DUMMYFUNCTION("""COMPUTED_VALUE"""),3619.7)</f>
        <v>3619.7</v>
      </c>
      <c r="F134" s="28">
        <f>IFERROR(__xludf.DUMMYFUNCTION("""COMPUTED_VALUE"""),0.028911235737768225)</f>
        <v>0.02891123574</v>
      </c>
      <c r="G134" s="26">
        <f>IFERROR(__xludf.DUMMYFUNCTION("""COMPUTED_VALUE"""),2437.75)</f>
        <v>2437.75</v>
      </c>
      <c r="H134" s="28">
        <f>IFERROR(__xludf.DUMMYFUNCTION("""COMPUTED_VALUE"""),0.44192390524048825)</f>
        <v>0.4419239052</v>
      </c>
      <c r="I134" s="26">
        <f>IFERROR(__xludf.DUMMYFUNCTION("""COMPUTED_VALUE"""),3443.4)</f>
        <v>3443.4</v>
      </c>
      <c r="J134" s="28">
        <f>IFERROR(__xludf.DUMMYFUNCTION("""COMPUTED_VALUE"""),0.020807922402276847)</f>
        <v>0.0208079224</v>
      </c>
      <c r="K134" s="26" t="s">
        <v>254</v>
      </c>
      <c r="L134" s="26" t="s">
        <v>399</v>
      </c>
      <c r="M134" s="29" t="str">
        <f t="array" ref="M134">IF(F134&gt;30%,"YES","NO")</f>
        <v>NO</v>
      </c>
      <c r="N134" s="29" t="str">
        <f t="array" ref="N134">IF(H134&lt;30%,"YES","NO")</f>
        <v>NO</v>
      </c>
      <c r="O134" s="29" t="str">
        <f t="array" ref="O134"> if(AND(D134&lt;65,M134="NO",N134="NO"),"GOOD STOCK","")</f>
        <v/>
      </c>
      <c r="P134" s="29" t="str">
        <f t="array" ref="P134"> ifs((B134/$B$2)*100&gt;=60,"Large cap stocks",and((B134/$B$2)*100&lt;60,(B134/$B$2)*100&gt;40),"Medium cap stocks",(B134/$B$2)*100&lt;40,"Small cap stocks")</f>
        <v>Small cap stocks</v>
      </c>
    </row>
    <row r="135">
      <c r="A135" s="26" t="str">
        <f>IFERROR(__xludf.DUMMYFUNCTION("""COMPUTED_VALUE"""),"Poly Medicure Ltd")</f>
        <v>Poly Medicure Ltd</v>
      </c>
      <c r="B135" s="27">
        <f>IFERROR(__xludf.DUMMYFUNCTION("""COMPUTED_VALUE"""),8584.669055)</f>
        <v>8584.669055</v>
      </c>
      <c r="C135" s="26">
        <f>IFERROR(__xludf.DUMMYFUNCTION("""COMPUTED_VALUE"""),891.5)</f>
        <v>891.5</v>
      </c>
      <c r="D135" s="26">
        <f>IFERROR(__xludf.DUMMYFUNCTION("""COMPUTED_VALUE"""),61.12)</f>
        <v>61.12</v>
      </c>
      <c r="E135" s="26">
        <f>IFERROR(__xludf.DUMMYFUNCTION("""COMPUTED_VALUE"""),1044.4)</f>
        <v>1044.4</v>
      </c>
      <c r="F135" s="28">
        <f>IFERROR(__xludf.DUMMYFUNCTION("""COMPUTED_VALUE"""),0.14639984680199164)</f>
        <v>0.1463998468</v>
      </c>
      <c r="G135" s="26">
        <f>IFERROR(__xludf.DUMMYFUNCTION("""COMPUTED_VALUE"""),652.3)</f>
        <v>652.3</v>
      </c>
      <c r="H135" s="28">
        <f>IFERROR(__xludf.DUMMYFUNCTION("""COMPUTED_VALUE"""),0.36670243752874454)</f>
        <v>0.3667024375</v>
      </c>
      <c r="I135" s="26">
        <f>IFERROR(__xludf.DUMMYFUNCTION("""COMPUTED_VALUE"""),897.9)</f>
        <v>897.9</v>
      </c>
      <c r="J135" s="28">
        <f>IFERROR(__xludf.DUMMYFUNCTION("""COMPUTED_VALUE"""),-0.00712774251030179)</f>
        <v>-0.00712774251</v>
      </c>
      <c r="K135" s="26" t="s">
        <v>369</v>
      </c>
      <c r="L135" s="26" t="s">
        <v>400</v>
      </c>
      <c r="M135" s="29" t="str">
        <f t="array" ref="M135">IF(F135&gt;30%,"YES","NO")</f>
        <v>NO</v>
      </c>
      <c r="N135" s="29" t="str">
        <f t="array" ref="N135">IF(H135&lt;30%,"YES","NO")</f>
        <v>NO</v>
      </c>
      <c r="O135" s="29" t="str">
        <f t="array" ref="O135"> if(AND(D135&lt;65,M135="NO",N135="NO"),"GOOD STOCK","")</f>
        <v>GOOD STOCK</v>
      </c>
      <c r="P135" s="29" t="str">
        <f t="array" ref="P135"> ifs((B135/$B$2)*100&gt;=60,"Large cap stocks",and((B135/$B$2)*100&lt;60,(B135/$B$2)*100&gt;40),"Medium cap stocks",(B135/$B$2)*100&lt;40,"Small cap stocks")</f>
        <v>Small cap stocks</v>
      </c>
    </row>
    <row r="136">
      <c r="A136" s="26" t="str">
        <f>IFERROR(__xludf.DUMMYFUNCTION("""COMPUTED_VALUE"""),"Finolex Cable")</f>
        <v>Finolex Cable</v>
      </c>
      <c r="B136" s="27">
        <f>IFERROR(__xludf.DUMMYFUNCTION("""COMPUTED_VALUE"""),8463.6612353)</f>
        <v>8463.661235</v>
      </c>
      <c r="C136" s="26">
        <f>IFERROR(__xludf.DUMMYFUNCTION("""COMPUTED_VALUE"""),553.4)</f>
        <v>553.4</v>
      </c>
      <c r="D136" s="26">
        <f>IFERROR(__xludf.DUMMYFUNCTION("""COMPUTED_VALUE"""),15.6)</f>
        <v>15.6</v>
      </c>
      <c r="E136" s="26">
        <f>IFERROR(__xludf.DUMMYFUNCTION("""COMPUTED_VALUE"""),593.9)</f>
        <v>593.9</v>
      </c>
      <c r="F136" s="28">
        <f>IFERROR(__xludf.DUMMYFUNCTION("""COMPUTED_VALUE"""),0.06819329853510692)</f>
        <v>0.06819329854</v>
      </c>
      <c r="G136" s="26">
        <f>IFERROR(__xludf.DUMMYFUNCTION("""COMPUTED_VALUE"""),343.5)</f>
        <v>343.5</v>
      </c>
      <c r="H136" s="28">
        <f>IFERROR(__xludf.DUMMYFUNCTION("""COMPUTED_VALUE"""),0.6110625909752546)</f>
        <v>0.611062591</v>
      </c>
      <c r="I136" s="26">
        <f>IFERROR(__xludf.DUMMYFUNCTION("""COMPUTED_VALUE"""),539.85)</f>
        <v>539.85</v>
      </c>
      <c r="J136" s="28">
        <f>IFERROR(__xludf.DUMMYFUNCTION("""COMPUTED_VALUE"""),0.02509956469389637)</f>
        <v>0.02509956469</v>
      </c>
      <c r="K136" s="26" t="s">
        <v>282</v>
      </c>
      <c r="L136" s="26" t="s">
        <v>401</v>
      </c>
      <c r="M136" s="29" t="str">
        <f t="array" ref="M136">IF(F136&gt;30%,"YES","NO")</f>
        <v>NO</v>
      </c>
      <c r="N136" s="29" t="str">
        <f t="array" ref="N136">IF(H136&lt;30%,"YES","NO")</f>
        <v>NO</v>
      </c>
      <c r="O136" s="29" t="str">
        <f t="array" ref="O136"> if(AND(D136&lt;65,M136="NO",N136="NO"),"GOOD STOCK","")</f>
        <v>GOOD STOCK</v>
      </c>
      <c r="P136" s="29" t="str">
        <f t="array" ref="P136"> ifs((B136/$B$2)*100&gt;=60,"Large cap stocks",and((B136/$B$2)*100&lt;60,(B136/$B$2)*100&gt;40),"Medium cap stocks",(B136/$B$2)*100&lt;40,"Small cap stocks")</f>
        <v>Small cap stocks</v>
      </c>
    </row>
    <row r="137">
      <c r="A137" s="26" t="str">
        <f>IFERROR(__xludf.DUMMYFUNCTION("""COMPUTED_VALUE"""),"Mahangar Gas")</f>
        <v>Mahangar Gas</v>
      </c>
      <c r="B137" s="27">
        <f>IFERROR(__xludf.DUMMYFUNCTION("""COMPUTED_VALUE"""),8445.006)</f>
        <v>8445.006</v>
      </c>
      <c r="C137" s="26">
        <f>IFERROR(__xludf.DUMMYFUNCTION("""COMPUTED_VALUE"""),853.05)</f>
        <v>853.05</v>
      </c>
      <c r="D137" s="26">
        <f>IFERROR(__xludf.DUMMYFUNCTION("""COMPUTED_VALUE"""),15.67)</f>
        <v>15.67</v>
      </c>
      <c r="E137" s="26">
        <f>IFERROR(__xludf.DUMMYFUNCTION("""COMPUTED_VALUE"""),925.0)</f>
        <v>925</v>
      </c>
      <c r="F137" s="28">
        <f>IFERROR(__xludf.DUMMYFUNCTION("""COMPUTED_VALUE"""),0.07778378378378384)</f>
        <v>0.07778378378</v>
      </c>
      <c r="G137" s="26">
        <f>IFERROR(__xludf.DUMMYFUNCTION("""COMPUTED_VALUE"""),666.35)</f>
        <v>666.35</v>
      </c>
      <c r="H137" s="28">
        <f>IFERROR(__xludf.DUMMYFUNCTION("""COMPUTED_VALUE"""),0.2801830869663089)</f>
        <v>0.280183087</v>
      </c>
      <c r="I137" s="26">
        <f>IFERROR(__xludf.DUMMYFUNCTION("""COMPUTED_VALUE"""),862.5)</f>
        <v>862.5</v>
      </c>
      <c r="J137" s="28">
        <f>IFERROR(__xludf.DUMMYFUNCTION("""COMPUTED_VALUE"""),-0.010956521739130488)</f>
        <v>-0.01095652174</v>
      </c>
      <c r="K137" s="26" t="s">
        <v>329</v>
      </c>
      <c r="L137" s="26" t="s">
        <v>402</v>
      </c>
      <c r="M137" s="29" t="str">
        <f t="array" ref="M137">IF(F137&gt;30%,"YES","NO")</f>
        <v>NO</v>
      </c>
      <c r="N137" s="29" t="str">
        <f t="array" ref="N137">IF(H137&lt;30%,"YES","NO")</f>
        <v>YES</v>
      </c>
      <c r="O137" s="29" t="str">
        <f t="array" ref="O137"> if(AND(D137&lt;65,M137="NO",N137="NO"),"GOOD STOCK","")</f>
        <v/>
      </c>
      <c r="P137" s="29" t="str">
        <f t="array" ref="P137"> ifs((B137/$B$2)*100&gt;=60,"Large cap stocks",and((B137/$B$2)*100&lt;60,(B137/$B$2)*100&gt;40),"Medium cap stocks",(B137/$B$2)*100&lt;40,"Small cap stocks")</f>
        <v>Small cap stocks</v>
      </c>
    </row>
    <row r="138">
      <c r="A138" s="26" t="str">
        <f>IFERROR(__xludf.DUMMYFUNCTION("""COMPUTED_VALUE"""),"Galaxy Surfactant")</f>
        <v>Galaxy Surfactant</v>
      </c>
      <c r="B138" s="27">
        <f>IFERROR(__xludf.DUMMYFUNCTION("""COMPUTED_VALUE"""),8341.1378051)</f>
        <v>8341.137805</v>
      </c>
      <c r="C138" s="26">
        <f>IFERROR(__xludf.DUMMYFUNCTION("""COMPUTED_VALUE"""),2358.0)</f>
        <v>2358</v>
      </c>
      <c r="D138" s="26">
        <f>IFERROR(__xludf.DUMMYFUNCTION("""COMPUTED_VALUE"""),25.47)</f>
        <v>25.47</v>
      </c>
      <c r="E138" s="26">
        <f>IFERROR(__xludf.DUMMYFUNCTION("""COMPUTED_VALUE"""),3447.55)</f>
        <v>3447.55</v>
      </c>
      <c r="F138" s="28">
        <f>IFERROR(__xludf.DUMMYFUNCTION("""COMPUTED_VALUE"""),0.31603602558338534)</f>
        <v>0.3160360256</v>
      </c>
      <c r="G138" s="26">
        <f>IFERROR(__xludf.DUMMYFUNCTION("""COMPUTED_VALUE"""),2310.1)</f>
        <v>2310.1</v>
      </c>
      <c r="H138" s="28">
        <f>IFERROR(__xludf.DUMMYFUNCTION("""COMPUTED_VALUE"""),0.020735033115449587)</f>
        <v>0.02073503312</v>
      </c>
      <c r="I138" s="26">
        <f>IFERROR(__xludf.DUMMYFUNCTION("""COMPUTED_VALUE"""),2340.5)</f>
        <v>2340.5</v>
      </c>
      <c r="J138" s="28">
        <f>IFERROR(__xludf.DUMMYFUNCTION("""COMPUTED_VALUE"""),0.007477034821619312)</f>
        <v>0.007477034822</v>
      </c>
      <c r="K138" s="26" t="s">
        <v>265</v>
      </c>
      <c r="L138" s="26" t="s">
        <v>403</v>
      </c>
      <c r="M138" s="29" t="str">
        <f t="array" ref="M138">IF(F138&gt;30%,"YES","NO")</f>
        <v>YES</v>
      </c>
      <c r="N138" s="29" t="str">
        <f t="array" ref="N138">IF(H138&lt;30%,"YES","NO")</f>
        <v>YES</v>
      </c>
      <c r="O138" s="29" t="str">
        <f t="array" ref="O138"> if(AND(D138&lt;65,M138="NO",N138="NO"),"GOOD STOCK","")</f>
        <v/>
      </c>
      <c r="P138" s="29" t="str">
        <f t="array" ref="P138"> ifs((B138/$B$2)*100&gt;=60,"Large cap stocks",and((B138/$B$2)*100&lt;60,(B138/$B$2)*100&gt;40),"Medium cap stocks",(B138/$B$2)*100&lt;40,"Small cap stocks")</f>
        <v>Small cap stocks</v>
      </c>
    </row>
    <row r="139">
      <c r="A139" s="26" t="str">
        <f>IFERROR(__xludf.DUMMYFUNCTION("""COMPUTED_VALUE"""),"Balaji Amine")</f>
        <v>Balaji Amine</v>
      </c>
      <c r="B139" s="27">
        <f>IFERROR(__xludf.DUMMYFUNCTION("""COMPUTED_VALUE"""),8293.1763762)</f>
        <v>8293.176376</v>
      </c>
      <c r="C139" s="26">
        <f>IFERROR(__xludf.DUMMYFUNCTION("""COMPUTED_VALUE"""),2562.7)</f>
        <v>2562.7</v>
      </c>
      <c r="D139" s="26">
        <f>IFERROR(__xludf.DUMMYFUNCTION("""COMPUTED_VALUE"""),20.06)</f>
        <v>20.06</v>
      </c>
      <c r="E139" s="26">
        <f>IFERROR(__xludf.DUMMYFUNCTION("""COMPUTED_VALUE"""),3841.85)</f>
        <v>3841.85</v>
      </c>
      <c r="F139" s="28">
        <f>IFERROR(__xludf.DUMMYFUNCTION("""COMPUTED_VALUE"""),0.3329515728099744)</f>
        <v>0.3329515728</v>
      </c>
      <c r="G139" s="26">
        <f>IFERROR(__xludf.DUMMYFUNCTION("""COMPUTED_VALUE"""),2530.0)</f>
        <v>2530</v>
      </c>
      <c r="H139" s="28">
        <f>IFERROR(__xludf.DUMMYFUNCTION("""COMPUTED_VALUE"""),0.01292490118577068)</f>
        <v>0.01292490119</v>
      </c>
      <c r="I139" s="26">
        <f>IFERROR(__xludf.DUMMYFUNCTION("""COMPUTED_VALUE"""),2557.4)</f>
        <v>2557.4</v>
      </c>
      <c r="J139" s="28">
        <f>IFERROR(__xludf.DUMMYFUNCTION("""COMPUTED_VALUE"""),0.0020724172988190064)</f>
        <v>0.002072417299</v>
      </c>
      <c r="K139" s="26" t="s">
        <v>265</v>
      </c>
      <c r="L139" s="26" t="s">
        <v>404</v>
      </c>
      <c r="M139" s="29" t="str">
        <f t="array" ref="M139">IF(F139&gt;30%,"YES","NO")</f>
        <v>YES</v>
      </c>
      <c r="N139" s="29" t="str">
        <f t="array" ref="N139">IF(H139&lt;30%,"YES","NO")</f>
        <v>YES</v>
      </c>
      <c r="O139" s="29" t="str">
        <f t="array" ref="O139"> if(AND(D139&lt;65,M139="NO",N139="NO"),"GOOD STOCK","")</f>
        <v/>
      </c>
      <c r="P139" s="29" t="str">
        <f t="array" ref="P139"> ifs((B139/$B$2)*100&gt;=60,"Large cap stocks",and((B139/$B$2)*100&lt;60,(B139/$B$2)*100&gt;40),"Medium cap stocks",(B139/$B$2)*100&lt;40,"Small cap stocks")</f>
        <v>Small cap stocks</v>
      </c>
    </row>
    <row r="140">
      <c r="A140" s="26" t="str">
        <f>IFERROR(__xludf.DUMMYFUNCTION("""COMPUTED_VALUE"""),"Sonata Software")</f>
        <v>Sonata Software</v>
      </c>
      <c r="B140" s="27">
        <f>IFERROR(__xludf.DUMMYFUNCTION("""COMPUTED_VALUE"""),8104.163)</f>
        <v>8104.163</v>
      </c>
      <c r="C140" s="26">
        <f>IFERROR(__xludf.DUMMYFUNCTION("""COMPUTED_VALUE"""),582.0)</f>
        <v>582</v>
      </c>
      <c r="D140" s="26">
        <f>IFERROR(__xludf.DUMMYFUNCTION("""COMPUTED_VALUE"""),19.25)</f>
        <v>19.25</v>
      </c>
      <c r="E140" s="26">
        <f>IFERROR(__xludf.DUMMYFUNCTION("""COMPUTED_VALUE"""),694.5)</f>
        <v>694.5</v>
      </c>
      <c r="F140" s="28">
        <f>IFERROR(__xludf.DUMMYFUNCTION("""COMPUTED_VALUE"""),0.16198704103671707)</f>
        <v>0.161987041</v>
      </c>
      <c r="G140" s="26">
        <f>IFERROR(__xludf.DUMMYFUNCTION("""COMPUTED_VALUE"""),457.58)</f>
        <v>457.58</v>
      </c>
      <c r="H140" s="28">
        <f>IFERROR(__xludf.DUMMYFUNCTION("""COMPUTED_VALUE"""),0.2719087372699856)</f>
        <v>0.2719087373</v>
      </c>
      <c r="I140" s="26">
        <f>IFERROR(__xludf.DUMMYFUNCTION("""COMPUTED_VALUE"""),574.4)</f>
        <v>574.4</v>
      </c>
      <c r="J140" s="28">
        <f>IFERROR(__xludf.DUMMYFUNCTION("""COMPUTED_VALUE"""),0.013231197771587783)</f>
        <v>0.01323119777</v>
      </c>
      <c r="K140" s="26" t="s">
        <v>317</v>
      </c>
      <c r="L140" s="26" t="s">
        <v>405</v>
      </c>
      <c r="M140" s="29" t="str">
        <f t="array" ref="M140">IF(F140&gt;30%,"YES","NO")</f>
        <v>NO</v>
      </c>
      <c r="N140" s="29" t="str">
        <f t="array" ref="N140">IF(H140&lt;30%,"YES","NO")</f>
        <v>YES</v>
      </c>
      <c r="O140" s="29" t="str">
        <f t="array" ref="O140"> if(AND(D140&lt;65,M140="NO",N140="NO"),"GOOD STOCK","")</f>
        <v/>
      </c>
      <c r="P140" s="29" t="str">
        <f t="array" ref="P140"> ifs((B140/$B$2)*100&gt;=60,"Large cap stocks",and((B140/$B$2)*100&lt;60,(B140/$B$2)*100&gt;40),"Medium cap stocks",(B140/$B$2)*100&lt;40,"Small cap stocks")</f>
        <v>Small cap stocks</v>
      </c>
    </row>
    <row r="141">
      <c r="A141" s="26" t="str">
        <f>IFERROR(__xludf.DUMMYFUNCTION("""COMPUTED_VALUE"""),"Granules India")</f>
        <v>Granules India</v>
      </c>
      <c r="B141" s="27">
        <f>IFERROR(__xludf.DUMMYFUNCTION("""COMPUTED_VALUE"""),7705.431)</f>
        <v>7705.431</v>
      </c>
      <c r="C141" s="26">
        <f>IFERROR(__xludf.DUMMYFUNCTION("""COMPUTED_VALUE"""),318.6)</f>
        <v>318.6</v>
      </c>
      <c r="D141" s="26">
        <f>IFERROR(__xludf.DUMMYFUNCTION("""COMPUTED_VALUE"""),16.36)</f>
        <v>16.36</v>
      </c>
      <c r="E141" s="26">
        <f>IFERROR(__xludf.DUMMYFUNCTION("""COMPUTED_VALUE"""),381.25)</f>
        <v>381.25</v>
      </c>
      <c r="F141" s="28">
        <f>IFERROR(__xludf.DUMMYFUNCTION("""COMPUTED_VALUE"""),0.16432786885245895)</f>
        <v>0.1643278689</v>
      </c>
      <c r="G141" s="26">
        <f>IFERROR(__xludf.DUMMYFUNCTION("""COMPUTED_VALUE"""),227.0)</f>
        <v>227</v>
      </c>
      <c r="H141" s="28">
        <f>IFERROR(__xludf.DUMMYFUNCTION("""COMPUTED_VALUE"""),0.40352422907489)</f>
        <v>0.4035242291</v>
      </c>
      <c r="I141" s="26">
        <f>IFERROR(__xludf.DUMMYFUNCTION("""COMPUTED_VALUE"""),318.15)</f>
        <v>318.15</v>
      </c>
      <c r="J141" s="28">
        <f>IFERROR(__xludf.DUMMYFUNCTION("""COMPUTED_VALUE"""),0.0014144271570015574)</f>
        <v>0.001414427157</v>
      </c>
      <c r="K141" s="26" t="s">
        <v>254</v>
      </c>
      <c r="L141" s="26" t="s">
        <v>406</v>
      </c>
      <c r="M141" s="29" t="str">
        <f t="array" ref="M141">IF(F141&gt;30%,"YES","NO")</f>
        <v>NO</v>
      </c>
      <c r="N141" s="29" t="str">
        <f t="array" ref="N141">IF(H141&lt;30%,"YES","NO")</f>
        <v>NO</v>
      </c>
      <c r="O141" s="29" t="str">
        <f t="array" ref="O141"> if(AND(D141&lt;65,M141="NO",N141="NO"),"GOOD STOCK","")</f>
        <v>GOOD STOCK</v>
      </c>
      <c r="P141" s="29" t="str">
        <f t="array" ref="P141"> ifs((B141/$B$2)*100&gt;=60,"Large cap stocks",and((B141/$B$2)*100&lt;60,(B141/$B$2)*100&gt;40),"Medium cap stocks",(B141/$B$2)*100&lt;40,"Small cap stocks")</f>
        <v>Small cap stocks</v>
      </c>
    </row>
    <row r="142">
      <c r="A142" s="26" t="str">
        <f>IFERROR(__xludf.DUMMYFUNCTION("""COMPUTED_VALUE"""),"Laxmi Orgamic")</f>
        <v>Laxmi Orgamic</v>
      </c>
      <c r="B142" s="27">
        <f>IFERROR(__xludf.DUMMYFUNCTION("""COMPUTED_VALUE"""),7672.4308321)</f>
        <v>7672.430832</v>
      </c>
      <c r="C142" s="26">
        <f>IFERROR(__xludf.DUMMYFUNCTION("""COMPUTED_VALUE"""),289.4)</f>
        <v>289.4</v>
      </c>
      <c r="D142" s="26">
        <f>IFERROR(__xludf.DUMMYFUNCTION("""COMPUTED_VALUE"""),36.41)</f>
        <v>36.41</v>
      </c>
      <c r="E142" s="26">
        <f>IFERROR(__xludf.DUMMYFUNCTION("""COMPUTED_VALUE"""),501.6)</f>
        <v>501.6</v>
      </c>
      <c r="F142" s="28">
        <f>IFERROR(__xludf.DUMMYFUNCTION("""COMPUTED_VALUE"""),0.4230462519936205)</f>
        <v>0.423046252</v>
      </c>
      <c r="G142" s="26">
        <f>IFERROR(__xludf.DUMMYFUNCTION("""COMPUTED_VALUE"""),274.35)</f>
        <v>274.35</v>
      </c>
      <c r="H142" s="28">
        <f>IFERROR(__xludf.DUMMYFUNCTION("""COMPUTED_VALUE"""),0.05485693457262604)</f>
        <v>0.05485693457</v>
      </c>
      <c r="I142" s="26">
        <f>IFERROR(__xludf.DUMMYFUNCTION("""COMPUTED_VALUE"""),289.25)</f>
        <v>289.25</v>
      </c>
      <c r="J142" s="28">
        <f>IFERROR(__xludf.DUMMYFUNCTION("""COMPUTED_VALUE"""),5.185825410543726E-4)</f>
        <v>0.0005185825411</v>
      </c>
      <c r="K142" s="26" t="s">
        <v>265</v>
      </c>
      <c r="L142" s="26" t="s">
        <v>407</v>
      </c>
      <c r="M142" s="29" t="str">
        <f t="array" ref="M142">IF(F142&gt;30%,"YES","NO")</f>
        <v>YES</v>
      </c>
      <c r="N142" s="29" t="str">
        <f t="array" ref="N142">IF(H142&lt;30%,"YES","NO")</f>
        <v>YES</v>
      </c>
      <c r="O142" s="29" t="str">
        <f t="array" ref="O142"> if(AND(D142&lt;65,M142="NO",N142="NO"),"GOOD STOCK","")</f>
        <v/>
      </c>
      <c r="P142" s="29" t="str">
        <f t="array" ref="P142"> ifs((B142/$B$2)*100&gt;=60,"Large cap stocks",and((B142/$B$2)*100&lt;60,(B142/$B$2)*100&gt;40),"Medium cap stocks",(B142/$B$2)*100&lt;40,"Small cap stocks")</f>
        <v>Small cap stocks</v>
      </c>
    </row>
    <row r="143">
      <c r="A143" s="26" t="str">
        <f>IFERROR(__xludf.DUMMYFUNCTION("""COMPUTED_VALUE"""),"Infosys")</f>
        <v>Infosys</v>
      </c>
      <c r="B143" s="27">
        <f>IFERROR(__xludf.DUMMYFUNCTION("""COMPUTED_VALUE"""),7658.1331612)</f>
        <v>7658.133161</v>
      </c>
      <c r="C143" s="26">
        <f>IFERROR(__xludf.DUMMYFUNCTION("""COMPUTED_VALUE"""),1503.5)</f>
        <v>1503.5</v>
      </c>
      <c r="D143" s="26">
        <f>IFERROR(__xludf.DUMMYFUNCTION("""COMPUTED_VALUE"""),27.61)</f>
        <v>27.61</v>
      </c>
      <c r="E143" s="26">
        <f>IFERROR(__xludf.DUMMYFUNCTION("""COMPUTED_VALUE"""),1953.7)</f>
        <v>1953.7</v>
      </c>
      <c r="F143" s="28">
        <f>IFERROR(__xludf.DUMMYFUNCTION("""COMPUTED_VALUE"""),0.23043456006551674)</f>
        <v>0.2304345601</v>
      </c>
      <c r="G143" s="26">
        <f>IFERROR(__xludf.DUMMYFUNCTION("""COMPUTED_VALUE"""),1355.5)</f>
        <v>1355.5</v>
      </c>
      <c r="H143" s="28">
        <f>IFERROR(__xludf.DUMMYFUNCTION("""COMPUTED_VALUE"""),0.10918480265584656)</f>
        <v>0.1091848027</v>
      </c>
      <c r="I143" s="26">
        <f>IFERROR(__xludf.DUMMYFUNCTION("""COMPUTED_VALUE"""),1480.55)</f>
        <v>1480.55</v>
      </c>
      <c r="J143" s="28">
        <f>IFERROR(__xludf.DUMMYFUNCTION("""COMPUTED_VALUE"""),0.015500996251393095)</f>
        <v>0.01550099625</v>
      </c>
      <c r="K143" s="26" t="s">
        <v>233</v>
      </c>
      <c r="L143" s="26" t="s">
        <v>408</v>
      </c>
      <c r="M143" s="29" t="str">
        <f t="array" ref="M143">IF(F143&gt;30%,"YES","NO")</f>
        <v>NO</v>
      </c>
      <c r="N143" s="29" t="str">
        <f t="array" ref="N143">IF(H143&lt;30%,"YES","NO")</f>
        <v>YES</v>
      </c>
      <c r="O143" s="29" t="str">
        <f t="array" ref="O143"> if(AND(D143&lt;65,M143="NO",N143="NO"),"GOOD STOCK","")</f>
        <v/>
      </c>
      <c r="P143" s="29" t="str">
        <f t="array" ref="P143"> ifs((B143/$B$2)*100&gt;=60,"Large cap stocks",and((B143/$B$2)*100&lt;60,(B143/$B$2)*100&gt;40),"Medium cap stocks",(B143/$B$2)*100&lt;40,"Small cap stocks")</f>
        <v>Small cap stocks</v>
      </c>
    </row>
    <row r="144">
      <c r="A144" s="26" t="str">
        <f>IFERROR(__xludf.DUMMYFUNCTION("""COMPUTED_VALUE"""),"Latent View")</f>
        <v>Latent View</v>
      </c>
      <c r="B144" s="27">
        <f>IFERROR(__xludf.DUMMYFUNCTION("""COMPUTED_VALUE"""),7452.986336)</f>
        <v>7452.986336</v>
      </c>
      <c r="C144" s="26">
        <f>IFERROR(__xludf.DUMMYFUNCTION("""COMPUTED_VALUE"""),367.25)</f>
        <v>367.25</v>
      </c>
      <c r="D144" s="26">
        <f>IFERROR(__xludf.DUMMYFUNCTION("""COMPUTED_VALUE"""),49.25)</f>
        <v>49.25</v>
      </c>
      <c r="E144" s="26">
        <f>IFERROR(__xludf.DUMMYFUNCTION("""COMPUTED_VALUE"""),617.4)</f>
        <v>617.4</v>
      </c>
      <c r="F144" s="28">
        <f>IFERROR(__xludf.DUMMYFUNCTION("""COMPUTED_VALUE"""),0.4051668286362164)</f>
        <v>0.4051668286</v>
      </c>
      <c r="G144" s="26">
        <f>IFERROR(__xludf.DUMMYFUNCTION("""COMPUTED_VALUE"""),305.25)</f>
        <v>305.25</v>
      </c>
      <c r="H144" s="28">
        <f>IFERROR(__xludf.DUMMYFUNCTION("""COMPUTED_VALUE"""),0.2031122031122031)</f>
        <v>0.2031122031</v>
      </c>
      <c r="I144" s="26">
        <f>IFERROR(__xludf.DUMMYFUNCTION("""COMPUTED_VALUE"""),368.4)</f>
        <v>368.4</v>
      </c>
      <c r="J144" s="28">
        <f>IFERROR(__xludf.DUMMYFUNCTION("""COMPUTED_VALUE"""),-0.003121606948968451)</f>
        <v>-0.003121606949</v>
      </c>
      <c r="K144" s="26" t="s">
        <v>233</v>
      </c>
      <c r="L144" s="26" t="s">
        <v>409</v>
      </c>
      <c r="M144" s="29" t="str">
        <f t="array" ref="M144">IF(F144&gt;30%,"YES","NO")</f>
        <v>YES</v>
      </c>
      <c r="N144" s="29" t="str">
        <f t="array" ref="N144">IF(H144&lt;30%,"YES","NO")</f>
        <v>YES</v>
      </c>
      <c r="O144" s="29" t="str">
        <f t="array" ref="O144"> if(AND(D144&lt;65,M144="NO",N144="NO"),"GOOD STOCK","")</f>
        <v/>
      </c>
      <c r="P144" s="29" t="str">
        <f t="array" ref="P144"> ifs((B144/$B$2)*100&gt;=60,"Large cap stocks",and((B144/$B$2)*100&lt;60,(B144/$B$2)*100&gt;40),"Medium cap stocks",(B144/$B$2)*100&lt;40,"Small cap stocks")</f>
        <v>Small cap stocks</v>
      </c>
    </row>
    <row r="145">
      <c r="A145" s="26" t="str">
        <f>IFERROR(__xludf.DUMMYFUNCTION("""COMPUTED_VALUE"""),"ICICI Bank")</f>
        <v>ICICI Bank</v>
      </c>
      <c r="B145" s="27">
        <f>IFERROR(__xludf.DUMMYFUNCTION("""COMPUTED_VALUE"""),7451.4657292)</f>
        <v>7451.465729</v>
      </c>
      <c r="C145" s="26">
        <f>IFERROR(__xludf.DUMMYFUNCTION("""COMPUTED_VALUE"""),873.25)</f>
        <v>873.25</v>
      </c>
      <c r="D145" s="26">
        <f>IFERROR(__xludf.DUMMYFUNCTION("""COMPUTED_VALUE"""),20.88)</f>
        <v>20.88</v>
      </c>
      <c r="E145" s="26">
        <f>IFERROR(__xludf.DUMMYFUNCTION("""COMPUTED_VALUE"""),958.0)</f>
        <v>958</v>
      </c>
      <c r="F145" s="28">
        <f>IFERROR(__xludf.DUMMYFUNCTION("""COMPUTED_VALUE"""),0.08846555323590814)</f>
        <v>0.08846555324</v>
      </c>
      <c r="G145" s="26">
        <f>IFERROR(__xludf.DUMMYFUNCTION("""COMPUTED_VALUE"""),642.0)</f>
        <v>642</v>
      </c>
      <c r="H145" s="28">
        <f>IFERROR(__xludf.DUMMYFUNCTION("""COMPUTED_VALUE"""),0.36020249221183803)</f>
        <v>0.3602024922</v>
      </c>
      <c r="I145" s="26">
        <f>IFERROR(__xludf.DUMMYFUNCTION("""COMPUTED_VALUE"""),861.2)</f>
        <v>861.2</v>
      </c>
      <c r="J145" s="28">
        <f>IFERROR(__xludf.DUMMYFUNCTION("""COMPUTED_VALUE"""),0.013992104040873147)</f>
        <v>0.01399210404</v>
      </c>
      <c r="K145" s="26" t="s">
        <v>237</v>
      </c>
      <c r="L145" s="26" t="s">
        <v>410</v>
      </c>
      <c r="M145" s="29" t="str">
        <f t="array" ref="M145">IF(F145&gt;30%,"YES","NO")</f>
        <v>NO</v>
      </c>
      <c r="N145" s="29" t="str">
        <f t="array" ref="N145">IF(H145&lt;30%,"YES","NO")</f>
        <v>NO</v>
      </c>
      <c r="O145" s="29" t="str">
        <f t="array" ref="O145"> if(AND(D145&lt;65,M145="NO",N145="NO"),"GOOD STOCK","")</f>
        <v>GOOD STOCK</v>
      </c>
      <c r="P145" s="29" t="str">
        <f t="array" ref="P145"> ifs((B145/$B$2)*100&gt;=60,"Large cap stocks",and((B145/$B$2)*100&lt;60,(B145/$B$2)*100&gt;40),"Medium cap stocks",(B145/$B$2)*100&lt;40,"Small cap stocks")</f>
        <v>Small cap stocks</v>
      </c>
    </row>
    <row r="146">
      <c r="A146" s="26" t="str">
        <f>IFERROR(__xludf.DUMMYFUNCTION("""COMPUTED_VALUE"""),"Route Mobile")</f>
        <v>Route Mobile</v>
      </c>
      <c r="B146" s="27">
        <f>IFERROR(__xludf.DUMMYFUNCTION("""COMPUTED_VALUE"""),7415.8287656)</f>
        <v>7415.828766</v>
      </c>
      <c r="C146" s="26">
        <f>IFERROR(__xludf.DUMMYFUNCTION("""COMPUTED_VALUE"""),1190.8)</f>
        <v>1190.8</v>
      </c>
      <c r="D146" s="26">
        <f>IFERROR(__xludf.DUMMYFUNCTION("""COMPUTED_VALUE"""),32.12)</f>
        <v>32.12</v>
      </c>
      <c r="E146" s="26">
        <f>IFERROR(__xludf.DUMMYFUNCTION("""COMPUTED_VALUE"""),1919.0)</f>
        <v>1919</v>
      </c>
      <c r="F146" s="28">
        <f>IFERROR(__xludf.DUMMYFUNCTION("""COMPUTED_VALUE"""),0.37946847316310583)</f>
        <v>0.3794684732</v>
      </c>
      <c r="G146" s="26">
        <f>IFERROR(__xludf.DUMMYFUNCTION("""COMPUTED_VALUE"""),1052.6)</f>
        <v>1052.6</v>
      </c>
      <c r="H146" s="28">
        <f>IFERROR(__xludf.DUMMYFUNCTION("""COMPUTED_VALUE"""),0.1312939388181646)</f>
        <v>0.1312939388</v>
      </c>
      <c r="I146" s="26">
        <f>IFERROR(__xludf.DUMMYFUNCTION("""COMPUTED_VALUE"""),1197.6)</f>
        <v>1197.6</v>
      </c>
      <c r="J146" s="28">
        <f>IFERROR(__xludf.DUMMYFUNCTION("""COMPUTED_VALUE"""),-0.005678022712090811)</f>
        <v>-0.005678022712</v>
      </c>
      <c r="K146" s="26" t="s">
        <v>298</v>
      </c>
      <c r="L146" s="26" t="s">
        <v>411</v>
      </c>
      <c r="M146" s="29" t="str">
        <f t="array" ref="M146">IF(F146&gt;30%,"YES","NO")</f>
        <v>YES</v>
      </c>
      <c r="N146" s="29" t="str">
        <f t="array" ref="N146">IF(H146&lt;30%,"YES","NO")</f>
        <v>YES</v>
      </c>
      <c r="O146" s="29" t="str">
        <f t="array" ref="O146"> if(AND(D146&lt;65,M146="NO",N146="NO"),"GOOD STOCK","")</f>
        <v/>
      </c>
      <c r="P146" s="29" t="str">
        <f t="array" ref="P146"> ifs((B146/$B$2)*100&gt;=60,"Large cap stocks",and((B146/$B$2)*100&lt;60,(B146/$B$2)*100&gt;40),"Medium cap stocks",(B146/$B$2)*100&lt;40,"Small cap stocks")</f>
        <v>Small cap stocks</v>
      </c>
    </row>
    <row r="147">
      <c r="A147" s="26" t="str">
        <f>IFERROR(__xludf.DUMMYFUNCTION("""COMPUTED_VALUE"""),"craftsman automation")</f>
        <v>craftsman automation</v>
      </c>
      <c r="B147" s="27">
        <f>IFERROR(__xludf.DUMMYFUNCTION("""COMPUTED_VALUE"""),7324.341471)</f>
        <v>7324.341471</v>
      </c>
      <c r="C147" s="26">
        <f>IFERROR(__xludf.DUMMYFUNCTION("""COMPUTED_VALUE"""),3465.1)</f>
        <v>3465.1</v>
      </c>
      <c r="D147" s="26">
        <f>IFERROR(__xludf.DUMMYFUNCTION("""COMPUTED_VALUE"""),35.75)</f>
        <v>35.75</v>
      </c>
      <c r="E147" s="26">
        <f>IFERROR(__xludf.DUMMYFUNCTION("""COMPUTED_VALUE"""),3709.95)</f>
        <v>3709.95</v>
      </c>
      <c r="F147" s="28">
        <f>IFERROR(__xludf.DUMMYFUNCTION("""COMPUTED_VALUE"""),0.06599819404574184)</f>
        <v>0.06599819405</v>
      </c>
      <c r="G147" s="26">
        <f>IFERROR(__xludf.DUMMYFUNCTION("""COMPUTED_VALUE"""),1845.0)</f>
        <v>1845</v>
      </c>
      <c r="H147" s="28">
        <f>IFERROR(__xludf.DUMMYFUNCTION("""COMPUTED_VALUE"""),0.8781029810298102)</f>
        <v>0.878102981</v>
      </c>
      <c r="I147" s="26">
        <f>IFERROR(__xludf.DUMMYFUNCTION("""COMPUTED_VALUE"""),3461.8)</f>
        <v>3461.8</v>
      </c>
      <c r="J147" s="28">
        <f>IFERROR(__xludf.DUMMYFUNCTION("""COMPUTED_VALUE"""),9.532613091454524E-4)</f>
        <v>0.0009532613091</v>
      </c>
      <c r="K147" s="26" t="s">
        <v>342</v>
      </c>
      <c r="L147" s="26" t="s">
        <v>412</v>
      </c>
      <c r="M147" s="29" t="str">
        <f t="array" ref="M147">IF(F147&gt;30%,"YES","NO")</f>
        <v>NO</v>
      </c>
      <c r="N147" s="29" t="str">
        <f t="array" ref="N147">IF(H147&lt;30%,"YES","NO")</f>
        <v>NO</v>
      </c>
      <c r="O147" s="29" t="str">
        <f t="array" ref="O147"> if(AND(D147&lt;65,M147="NO",N147="NO"),"GOOD STOCK","")</f>
        <v>GOOD STOCK</v>
      </c>
      <c r="P147" s="29" t="str">
        <f t="array" ref="P147"> ifs((B147/$B$2)*100&gt;=60,"Large cap stocks",and((B147/$B$2)*100&lt;60,(B147/$B$2)*100&gt;40),"Medium cap stocks",(B147/$B$2)*100&lt;40,"Small cap stocks")</f>
        <v>Small cap stocks</v>
      </c>
    </row>
    <row r="148">
      <c r="A148" s="26" t="str">
        <f>IFERROR(__xludf.DUMMYFUNCTION("""COMPUTED_VALUE"""),"Metropolis Healthcare")</f>
        <v>Metropolis Healthcare</v>
      </c>
      <c r="B148" s="27">
        <f>IFERROR(__xludf.DUMMYFUNCTION("""COMPUTED_VALUE"""),7063.23)</f>
        <v>7063.23</v>
      </c>
      <c r="C148" s="26">
        <f>IFERROR(__xludf.DUMMYFUNCTION("""COMPUTED_VALUE"""),1380.05)</f>
        <v>1380.05</v>
      </c>
      <c r="D148" s="26">
        <f>IFERROR(__xludf.DUMMYFUNCTION("""COMPUTED_VALUE"""),45.85)</f>
        <v>45.85</v>
      </c>
      <c r="E148" s="26">
        <f>IFERROR(__xludf.DUMMYFUNCTION("""COMPUTED_VALUE"""),3142.0)</f>
        <v>3142</v>
      </c>
      <c r="F148" s="28">
        <f>IFERROR(__xludf.DUMMYFUNCTION("""COMPUTED_VALUE"""),0.5607733927434755)</f>
        <v>0.5607733927</v>
      </c>
      <c r="G148" s="26">
        <f>IFERROR(__xludf.DUMMYFUNCTION("""COMPUTED_VALUE"""),1267.05)</f>
        <v>1267.05</v>
      </c>
      <c r="H148" s="28">
        <f>IFERROR(__xludf.DUMMYFUNCTION("""COMPUTED_VALUE"""),0.08918353656130382)</f>
        <v>0.08918353656</v>
      </c>
      <c r="I148" s="26">
        <f>IFERROR(__xludf.DUMMYFUNCTION("""COMPUTED_VALUE"""),1382.35)</f>
        <v>1382.35</v>
      </c>
      <c r="J148" s="28">
        <f>IFERROR(__xludf.DUMMYFUNCTION("""COMPUTED_VALUE"""),-0.0016638333273049188)</f>
        <v>-0.001663833327</v>
      </c>
      <c r="K148" s="26" t="s">
        <v>369</v>
      </c>
      <c r="L148" s="26" t="s">
        <v>413</v>
      </c>
      <c r="M148" s="29" t="str">
        <f t="array" ref="M148">IF(F148&gt;30%,"YES","NO")</f>
        <v>YES</v>
      </c>
      <c r="N148" s="29" t="str">
        <f t="array" ref="N148">IF(H148&lt;30%,"YES","NO")</f>
        <v>YES</v>
      </c>
      <c r="O148" s="29" t="str">
        <f t="array" ref="O148"> if(AND(D148&lt;65,M148="NO",N148="NO"),"GOOD STOCK","")</f>
        <v/>
      </c>
      <c r="P148" s="29" t="str">
        <f t="array" ref="P148"> ifs((B148/$B$2)*100&gt;=60,"Large cap stocks",and((B148/$B$2)*100&lt;60,(B148/$B$2)*100&gt;40),"Medium cap stocks",(B148/$B$2)*100&lt;40,"Small cap stocks")</f>
        <v>Small cap stocks</v>
      </c>
    </row>
    <row r="149">
      <c r="A149" s="26" t="str">
        <f>IFERROR(__xludf.DUMMYFUNCTION("""COMPUTED_VALUE"""),"GMM Pfaudler")</f>
        <v>GMM Pfaudler</v>
      </c>
      <c r="B149" s="27">
        <f>IFERROR(__xludf.DUMMYFUNCTION("""COMPUTED_VALUE"""),7046.8192293)</f>
        <v>7046.819229</v>
      </c>
      <c r="C149" s="26">
        <f>IFERROR(__xludf.DUMMYFUNCTION("""COMPUTED_VALUE"""),1567.45)</f>
        <v>1567.45</v>
      </c>
      <c r="D149" s="26">
        <f>IFERROR(__xludf.DUMMYFUNCTION("""COMPUTED_VALUE"""),53.87)</f>
        <v>53.87</v>
      </c>
      <c r="E149" s="26">
        <f>IFERROR(__xludf.DUMMYFUNCTION("""COMPUTED_VALUE"""),2110.0)</f>
        <v>2110</v>
      </c>
      <c r="F149" s="28">
        <f>IFERROR(__xludf.DUMMYFUNCTION("""COMPUTED_VALUE"""),0.25713270142180095)</f>
        <v>0.2571327014</v>
      </c>
      <c r="G149" s="26">
        <f>IFERROR(__xludf.DUMMYFUNCTION("""COMPUTED_VALUE"""),1256.67)</f>
        <v>1256.67</v>
      </c>
      <c r="H149" s="28">
        <f>IFERROR(__xludf.DUMMYFUNCTION("""COMPUTED_VALUE"""),0.24730438380800046)</f>
        <v>0.2473043838</v>
      </c>
      <c r="I149" s="26">
        <f>IFERROR(__xludf.DUMMYFUNCTION("""COMPUTED_VALUE"""),1576.95)</f>
        <v>1576.95</v>
      </c>
      <c r="J149" s="28">
        <f>IFERROR(__xludf.DUMMYFUNCTION("""COMPUTED_VALUE"""),-0.006024287390215289)</f>
        <v>-0.00602428739</v>
      </c>
      <c r="K149" s="26" t="s">
        <v>355</v>
      </c>
      <c r="L149" s="26" t="s">
        <v>414</v>
      </c>
      <c r="M149" s="29" t="str">
        <f t="array" ref="M149">IF(F149&gt;30%,"YES","NO")</f>
        <v>NO</v>
      </c>
      <c r="N149" s="29" t="str">
        <f t="array" ref="N149">IF(H149&lt;30%,"YES","NO")</f>
        <v>YES</v>
      </c>
      <c r="O149" s="29" t="str">
        <f t="array" ref="O149"> if(AND(D149&lt;65,M149="NO",N149="NO"),"GOOD STOCK","")</f>
        <v/>
      </c>
      <c r="P149" s="29" t="str">
        <f t="array" ref="P149"> ifs((B149/$B$2)*100&gt;=60,"Large cap stocks",and((B149/$B$2)*100&lt;60,(B149/$B$2)*100&gt;40),"Medium cap stocks",(B149/$B$2)*100&lt;40,"Small cap stocks")</f>
        <v>Small cap stocks</v>
      </c>
    </row>
    <row r="150">
      <c r="A150" s="26" t="str">
        <f>IFERROR(__xludf.DUMMYFUNCTION("""COMPUTED_VALUE"""),"TCI Express")</f>
        <v>TCI Express</v>
      </c>
      <c r="B150" s="27">
        <f>IFERROR(__xludf.DUMMYFUNCTION("""COMPUTED_VALUE"""),6985.583)</f>
        <v>6985.583</v>
      </c>
      <c r="C150" s="26">
        <f>IFERROR(__xludf.DUMMYFUNCTION("""COMPUTED_VALUE"""),1795.0)</f>
        <v>1795</v>
      </c>
      <c r="D150" s="26">
        <f>IFERROR(__xludf.DUMMYFUNCTION("""COMPUTED_VALUE"""),49.5)</f>
        <v>49.5</v>
      </c>
      <c r="E150" s="26">
        <f>IFERROR(__xludf.DUMMYFUNCTION("""COMPUTED_VALUE"""),2249.0)</f>
        <v>2249</v>
      </c>
      <c r="F150" s="28">
        <f>IFERROR(__xludf.DUMMYFUNCTION("""COMPUTED_VALUE"""),0.20186749666518453)</f>
        <v>0.2018674967</v>
      </c>
      <c r="G150" s="26">
        <f>IFERROR(__xludf.DUMMYFUNCTION("""COMPUTED_VALUE"""),1444.5)</f>
        <v>1444.5</v>
      </c>
      <c r="H150" s="28">
        <f>IFERROR(__xludf.DUMMYFUNCTION("""COMPUTED_VALUE"""),0.24264451367255105)</f>
        <v>0.2426445137</v>
      </c>
      <c r="I150" s="26">
        <f>IFERROR(__xludf.DUMMYFUNCTION("""COMPUTED_VALUE"""),1807.4)</f>
        <v>1807.4</v>
      </c>
      <c r="J150" s="28">
        <f>IFERROR(__xludf.DUMMYFUNCTION("""COMPUTED_VALUE"""),-0.006860683855261752)</f>
        <v>-0.006860683855</v>
      </c>
      <c r="K150" s="26" t="s">
        <v>415</v>
      </c>
      <c r="L150" s="26" t="s">
        <v>416</v>
      </c>
      <c r="M150" s="29" t="str">
        <f t="array" ref="M150">IF(F150&gt;30%,"YES","NO")</f>
        <v>NO</v>
      </c>
      <c r="N150" s="29" t="str">
        <f t="array" ref="N150">IF(H150&lt;30%,"YES","NO")</f>
        <v>YES</v>
      </c>
      <c r="O150" s="29" t="str">
        <f t="array" ref="O150"> if(AND(D150&lt;65,M150="NO",N150="NO"),"GOOD STOCK","")</f>
        <v/>
      </c>
      <c r="P150" s="29" t="str">
        <f t="array" ref="P150"> ifs((B150/$B$2)*100&gt;=60,"Large cap stocks",and((B150/$B$2)*100&lt;60,(B150/$B$2)*100&gt;40),"Medium cap stocks",(B150/$B$2)*100&lt;40,"Small cap stocks")</f>
        <v>Small cap stocks</v>
      </c>
    </row>
    <row r="151">
      <c r="A151" s="26" t="str">
        <f>IFERROR(__xludf.DUMMYFUNCTION("""COMPUTED_VALUE"""),"Cera Sanitaryware")</f>
        <v>Cera Sanitaryware</v>
      </c>
      <c r="B151" s="27">
        <f>IFERROR(__xludf.DUMMYFUNCTION("""COMPUTED_VALUE"""),6919.97)</f>
        <v>6919.97</v>
      </c>
      <c r="C151" s="26">
        <f>IFERROR(__xludf.DUMMYFUNCTION("""COMPUTED_VALUE"""),5294.0)</f>
        <v>5294</v>
      </c>
      <c r="D151" s="26">
        <f>IFERROR(__xludf.DUMMYFUNCTION("""COMPUTED_VALUE"""),37.0)</f>
        <v>37</v>
      </c>
      <c r="E151" s="26">
        <f>IFERROR(__xludf.DUMMYFUNCTION("""COMPUTED_VALUE"""),6067.95)</f>
        <v>6067.95</v>
      </c>
      <c r="F151" s="28">
        <f>IFERROR(__xludf.DUMMYFUNCTION("""COMPUTED_VALUE"""),0.1275471946868382)</f>
        <v>0.1275471947</v>
      </c>
      <c r="G151" s="26">
        <f>IFERROR(__xludf.DUMMYFUNCTION("""COMPUTED_VALUE"""),3518.6)</f>
        <v>3518.6</v>
      </c>
      <c r="H151" s="28">
        <f>IFERROR(__xludf.DUMMYFUNCTION("""COMPUTED_VALUE"""),0.5045756835104872)</f>
        <v>0.5045756835</v>
      </c>
      <c r="I151" s="26">
        <f>IFERROR(__xludf.DUMMYFUNCTION("""COMPUTED_VALUE"""),5320.0)</f>
        <v>5320</v>
      </c>
      <c r="J151" s="28">
        <f>IFERROR(__xludf.DUMMYFUNCTION("""COMPUTED_VALUE"""),-0.004887218045112782)</f>
        <v>-0.004887218045</v>
      </c>
      <c r="K151" s="26" t="s">
        <v>417</v>
      </c>
      <c r="L151" s="26" t="s">
        <v>418</v>
      </c>
      <c r="M151" s="29" t="str">
        <f t="array" ref="M151">IF(F151&gt;30%,"YES","NO")</f>
        <v>NO</v>
      </c>
      <c r="N151" s="29" t="str">
        <f t="array" ref="N151">IF(H151&lt;30%,"YES","NO")</f>
        <v>NO</v>
      </c>
      <c r="O151" s="29" t="str">
        <f t="array" ref="O151"> if(AND(D151&lt;65,M151="NO",N151="NO"),"GOOD STOCK","")</f>
        <v>GOOD STOCK</v>
      </c>
      <c r="P151" s="29" t="str">
        <f t="array" ref="P151"> ifs((B151/$B$2)*100&gt;=60,"Large cap stocks",and((B151/$B$2)*100&lt;60,(B151/$B$2)*100&gt;40),"Medium cap stocks",(B151/$B$2)*100&lt;40,"Small cap stocks")</f>
        <v>Small cap stocks</v>
      </c>
    </row>
    <row r="152">
      <c r="A152" s="26" t="str">
        <f>IFERROR(__xludf.DUMMYFUNCTION("""COMPUTED_VALUE"""),"Prince Pipe")</f>
        <v>Prince Pipe</v>
      </c>
      <c r="B152" s="27">
        <f>IFERROR(__xludf.DUMMYFUNCTION("""COMPUTED_VALUE"""),6524.233845)</f>
        <v>6524.233845</v>
      </c>
      <c r="C152" s="26">
        <f>IFERROR(__xludf.DUMMYFUNCTION("""COMPUTED_VALUE"""),590.7)</f>
        <v>590.7</v>
      </c>
      <c r="D152" s="26">
        <f>IFERROR(__xludf.DUMMYFUNCTION("""COMPUTED_VALUE"""),44.19)</f>
        <v>44.19</v>
      </c>
      <c r="E152" s="26">
        <f>IFERROR(__xludf.DUMMYFUNCTION("""COMPUTED_VALUE"""),748.0)</f>
        <v>748</v>
      </c>
      <c r="F152" s="28">
        <f>IFERROR(__xludf.DUMMYFUNCTION("""COMPUTED_VALUE"""),0.21029411764705877)</f>
        <v>0.2102941176</v>
      </c>
      <c r="G152" s="26">
        <f>IFERROR(__xludf.DUMMYFUNCTION("""COMPUTED_VALUE"""),513.1)</f>
        <v>513.1</v>
      </c>
      <c r="H152" s="28">
        <f>IFERROR(__xludf.DUMMYFUNCTION("""COMPUTED_VALUE"""),0.1512375755213409)</f>
        <v>0.1512375755</v>
      </c>
      <c r="I152" s="26">
        <f>IFERROR(__xludf.DUMMYFUNCTION("""COMPUTED_VALUE"""),575.3)</f>
        <v>575.3</v>
      </c>
      <c r="J152" s="28">
        <f>IFERROR(__xludf.DUMMYFUNCTION("""COMPUTED_VALUE"""),0.0267686424474189)</f>
        <v>0.02676864245</v>
      </c>
      <c r="K152" s="26" t="s">
        <v>312</v>
      </c>
      <c r="L152" s="26" t="s">
        <v>419</v>
      </c>
      <c r="M152" s="29" t="str">
        <f t="array" ref="M152">IF(F152&gt;30%,"YES","NO")</f>
        <v>NO</v>
      </c>
      <c r="N152" s="29" t="str">
        <f t="array" ref="N152">IF(H152&lt;30%,"YES","NO")</f>
        <v>YES</v>
      </c>
      <c r="O152" s="29" t="str">
        <f t="array" ref="O152"> if(AND(D152&lt;65,M152="NO",N152="NO"),"GOOD STOCK","")</f>
        <v/>
      </c>
      <c r="P152" s="29" t="str">
        <f t="array" ref="P152"> ifs((B152/$B$2)*100&gt;=60,"Large cap stocks",and((B152/$B$2)*100&lt;60,(B152/$B$2)*100&gt;40),"Medium cap stocks",(B152/$B$2)*100&lt;40,"Small cap stocks")</f>
        <v>Small cap stocks</v>
      </c>
    </row>
    <row r="153">
      <c r="A153" s="26" t="str">
        <f>IFERROR(__xludf.DUMMYFUNCTION("""COMPUTED_VALUE"""),"Praj Industries")</f>
        <v>Praj Industries</v>
      </c>
      <c r="B153" s="27">
        <f>IFERROR(__xludf.DUMMYFUNCTION("""COMPUTED_VALUE"""),6488.72245)</f>
        <v>6488.72245</v>
      </c>
      <c r="C153" s="26">
        <f>IFERROR(__xludf.DUMMYFUNCTION("""COMPUTED_VALUE"""),353.0)</f>
        <v>353</v>
      </c>
      <c r="D153" s="26">
        <f>IFERROR(__xludf.DUMMYFUNCTION("""COMPUTED_VALUE"""),35.19)</f>
        <v>35.19</v>
      </c>
      <c r="E153" s="26">
        <f>IFERROR(__xludf.DUMMYFUNCTION("""COMPUTED_VALUE"""),461.5)</f>
        <v>461.5</v>
      </c>
      <c r="F153" s="28">
        <f>IFERROR(__xludf.DUMMYFUNCTION("""COMPUTED_VALUE"""),0.23510292524377033)</f>
        <v>0.2351029252</v>
      </c>
      <c r="G153" s="26">
        <f>IFERROR(__xludf.DUMMYFUNCTION("""COMPUTED_VALUE"""),289.05)</f>
        <v>289.05</v>
      </c>
      <c r="H153" s="28">
        <f>IFERROR(__xludf.DUMMYFUNCTION("""COMPUTED_VALUE"""),0.22124199965403904)</f>
        <v>0.2212419997</v>
      </c>
      <c r="I153" s="26">
        <f>IFERROR(__xludf.DUMMYFUNCTION("""COMPUTED_VALUE"""),355.1)</f>
        <v>355.1</v>
      </c>
      <c r="J153" s="28">
        <f>IFERROR(__xludf.DUMMYFUNCTION("""COMPUTED_VALUE"""),-0.005913827090960356)</f>
        <v>-0.005913827091</v>
      </c>
      <c r="K153" s="26" t="s">
        <v>355</v>
      </c>
      <c r="L153" s="26" t="s">
        <v>420</v>
      </c>
      <c r="M153" s="29" t="str">
        <f t="array" ref="M153">IF(F153&gt;30%,"YES","NO")</f>
        <v>NO</v>
      </c>
      <c r="N153" s="29" t="str">
        <f t="array" ref="N153">IF(H153&lt;30%,"YES","NO")</f>
        <v>YES</v>
      </c>
      <c r="O153" s="29" t="str">
        <f t="array" ref="O153"> if(AND(D153&lt;65,M153="NO",N153="NO"),"GOOD STOCK","")</f>
        <v/>
      </c>
      <c r="P153" s="29" t="str">
        <f t="array" ref="P153"> ifs((B153/$B$2)*100&gt;=60,"Large cap stocks",and((B153/$B$2)*100&lt;60,(B153/$B$2)*100&gt;40),"Medium cap stocks",(B153/$B$2)*100&lt;40,"Small cap stocks")</f>
        <v>Small cap stocks</v>
      </c>
    </row>
    <row r="154">
      <c r="A154" s="26" t="str">
        <f>IFERROR(__xludf.DUMMYFUNCTION("""COMPUTED_VALUE"""),"Data Pattern")</f>
        <v>Data Pattern</v>
      </c>
      <c r="B154" s="27">
        <f>IFERROR(__xludf.DUMMYFUNCTION("""COMPUTED_VALUE"""),6367.8328518)</f>
        <v>6367.832852</v>
      </c>
      <c r="C154" s="26">
        <f>IFERROR(__xludf.DUMMYFUNCTION("""COMPUTED_VALUE"""),1227.1)</f>
        <v>1227.1</v>
      </c>
      <c r="D154" s="26">
        <f>IFERROR(__xludf.DUMMYFUNCTION("""COMPUTED_VALUE"""),59.65)</f>
        <v>59.65</v>
      </c>
      <c r="E154" s="26">
        <f>IFERROR(__xludf.DUMMYFUNCTION("""COMPUTED_VALUE"""),1480.0)</f>
        <v>1480</v>
      </c>
      <c r="F154" s="28">
        <f>IFERROR(__xludf.DUMMYFUNCTION("""COMPUTED_VALUE"""),0.17087837837837844)</f>
        <v>0.1708783784</v>
      </c>
      <c r="G154" s="26">
        <f>IFERROR(__xludf.DUMMYFUNCTION("""COMPUTED_VALUE"""),575.0)</f>
        <v>575</v>
      </c>
      <c r="H154" s="28">
        <f>IFERROR(__xludf.DUMMYFUNCTION("""COMPUTED_VALUE"""),1.134086956521739)</f>
        <v>1.134086957</v>
      </c>
      <c r="I154" s="26">
        <f>IFERROR(__xludf.DUMMYFUNCTION("""COMPUTED_VALUE"""),1161.25)</f>
        <v>1161.25</v>
      </c>
      <c r="J154" s="28">
        <f>IFERROR(__xludf.DUMMYFUNCTION("""COMPUTED_VALUE"""),0.05670613562970929)</f>
        <v>0.05670613563</v>
      </c>
      <c r="K154" s="26" t="s">
        <v>298</v>
      </c>
      <c r="L154" s="26" t="s">
        <v>421</v>
      </c>
      <c r="M154" s="29" t="str">
        <f t="array" ref="M154">IF(F154&gt;30%,"YES","NO")</f>
        <v>NO</v>
      </c>
      <c r="N154" s="29" t="str">
        <f t="array" ref="N154">IF(H154&lt;30%,"YES","NO")</f>
        <v>NO</v>
      </c>
      <c r="O154" s="29" t="str">
        <f t="array" ref="O154"> if(AND(D154&lt;65,M154="NO",N154="NO"),"GOOD STOCK","")</f>
        <v>GOOD STOCK</v>
      </c>
      <c r="P154" s="29" t="str">
        <f t="array" ref="P154"> ifs((B154/$B$2)*100&gt;=60,"Large cap stocks",and((B154/$B$2)*100&lt;60,(B154/$B$2)*100&gt;40),"Medium cap stocks",(B154/$B$2)*100&lt;40,"Small cap stocks")</f>
        <v>Small cap stocks</v>
      </c>
    </row>
    <row r="155">
      <c r="A155" s="26" t="str">
        <f>IFERROR(__xludf.DUMMYFUNCTION("""COMPUTED_VALUE"""),"Amber Enterprise")</f>
        <v>Amber Enterprise</v>
      </c>
      <c r="B155" s="27">
        <f>IFERROR(__xludf.DUMMYFUNCTION("""COMPUTED_VALUE"""),6297.527)</f>
        <v>6297.527</v>
      </c>
      <c r="C155" s="26">
        <f>IFERROR(__xludf.DUMMYFUNCTION("""COMPUTED_VALUE"""),1870.0)</f>
        <v>1870</v>
      </c>
      <c r="D155" s="26">
        <f>IFERROR(__xludf.DUMMYFUNCTION("""COMPUTED_VALUE"""),49.07)</f>
        <v>49.07</v>
      </c>
      <c r="E155" s="26">
        <f>IFERROR(__xludf.DUMMYFUNCTION("""COMPUTED_VALUE"""),4023.65)</f>
        <v>4023.65</v>
      </c>
      <c r="F155" s="28">
        <f>IFERROR(__xludf.DUMMYFUNCTION("""COMPUTED_VALUE"""),0.5352478471039976)</f>
        <v>0.5352478471</v>
      </c>
      <c r="G155" s="26">
        <f>IFERROR(__xludf.DUMMYFUNCTION("""COMPUTED_VALUE"""),1844.15)</f>
        <v>1844.15</v>
      </c>
      <c r="H155" s="28">
        <f>IFERROR(__xludf.DUMMYFUNCTION("""COMPUTED_VALUE"""),0.014017297942141316)</f>
        <v>0.01401729794</v>
      </c>
      <c r="I155" s="26">
        <f>IFERROR(__xludf.DUMMYFUNCTION("""COMPUTED_VALUE"""),1876.0)</f>
        <v>1876</v>
      </c>
      <c r="J155" s="28">
        <f>IFERROR(__xludf.DUMMYFUNCTION("""COMPUTED_VALUE"""),-0.0031982942430703624)</f>
        <v>-0.003198294243</v>
      </c>
      <c r="K155" s="26" t="s">
        <v>355</v>
      </c>
      <c r="L155" s="26" t="s">
        <v>422</v>
      </c>
      <c r="M155" s="29" t="str">
        <f t="array" ref="M155">IF(F155&gt;30%,"YES","NO")</f>
        <v>YES</v>
      </c>
      <c r="N155" s="29" t="str">
        <f t="array" ref="N155">IF(H155&lt;30%,"YES","NO")</f>
        <v>YES</v>
      </c>
      <c r="O155" s="29" t="str">
        <f t="array" ref="O155"> if(AND(D155&lt;65,M155="NO",N155="NO"),"GOOD STOCK","")</f>
        <v/>
      </c>
      <c r="P155" s="29" t="str">
        <f t="array" ref="P155"> ifs((B155/$B$2)*100&gt;=60,"Large cap stocks",and((B155/$B$2)*100&lt;60,(B155/$B$2)*100&gt;40),"Medium cap stocks",(B155/$B$2)*100&lt;40,"Small cap stocks")</f>
        <v>Small cap stocks</v>
      </c>
    </row>
    <row r="156">
      <c r="A156" s="26" t="str">
        <f>IFERROR(__xludf.DUMMYFUNCTION("""COMPUTED_VALUE"""),"Garware technical")</f>
        <v>Garware technical</v>
      </c>
      <c r="B156" s="27">
        <f>IFERROR(__xludf.DUMMYFUNCTION("""COMPUTED_VALUE"""),6152.5851506)</f>
        <v>6152.585151</v>
      </c>
      <c r="C156" s="26">
        <f>IFERROR(__xludf.DUMMYFUNCTION("""COMPUTED_VALUE"""),3024.95)</f>
        <v>3024.95</v>
      </c>
      <c r="D156" s="26">
        <f>IFERROR(__xludf.DUMMYFUNCTION("""COMPUTED_VALUE"""),37.14)</f>
        <v>37.14</v>
      </c>
      <c r="E156" s="26">
        <f>IFERROR(__xludf.DUMMYFUNCTION("""COMPUTED_VALUE"""),3754.85)</f>
        <v>3754.85</v>
      </c>
      <c r="F156" s="28">
        <f>IFERROR(__xludf.DUMMYFUNCTION("""COMPUTED_VALUE"""),0.19438859075595566)</f>
        <v>0.1943885908</v>
      </c>
      <c r="G156" s="26">
        <f>IFERROR(__xludf.DUMMYFUNCTION("""COMPUTED_VALUE"""),2619.8)</f>
        <v>2619.8</v>
      </c>
      <c r="H156" s="28">
        <f>IFERROR(__xludf.DUMMYFUNCTION("""COMPUTED_VALUE"""),0.1546492098633482)</f>
        <v>0.1546492099</v>
      </c>
      <c r="I156" s="26">
        <f>IFERROR(__xludf.DUMMYFUNCTION("""COMPUTED_VALUE"""),3026.7)</f>
        <v>3026.7</v>
      </c>
      <c r="J156" s="28">
        <f>IFERROR(__xludf.DUMMYFUNCTION("""COMPUTED_VALUE"""),-5.781874648957611E-4)</f>
        <v>-0.0005781874649</v>
      </c>
      <c r="K156" s="26" t="s">
        <v>304</v>
      </c>
      <c r="L156" s="26" t="s">
        <v>423</v>
      </c>
      <c r="M156" s="29" t="str">
        <f t="array" ref="M156">IF(F156&gt;30%,"YES","NO")</f>
        <v>NO</v>
      </c>
      <c r="N156" s="29" t="str">
        <f t="array" ref="N156">IF(H156&lt;30%,"YES","NO")</f>
        <v>YES</v>
      </c>
      <c r="O156" s="29" t="str">
        <f t="array" ref="O156"> if(AND(D156&lt;65,M156="NO",N156="NO"),"GOOD STOCK","")</f>
        <v/>
      </c>
      <c r="P156" s="29" t="str">
        <f t="array" ref="P156"> ifs((B156/$B$2)*100&gt;=60,"Large cap stocks",and((B156/$B$2)*100&lt;60,(B156/$B$2)*100&gt;40),"Medium cap stocks",(B156/$B$2)*100&lt;40,"Small cap stocks")</f>
        <v>Small cap stocks</v>
      </c>
    </row>
    <row r="157">
      <c r="A157" s="26" t="str">
        <f>IFERROR(__xludf.DUMMYFUNCTION("""COMPUTED_VALUE"""),"MapmyIndia")</f>
        <v>MapmyIndia</v>
      </c>
      <c r="B157" s="27">
        <f>IFERROR(__xludf.DUMMYFUNCTION("""COMPUTED_VALUE"""),5752.7067025)</f>
        <v>5752.706703</v>
      </c>
      <c r="C157" s="26">
        <f>IFERROR(__xludf.DUMMYFUNCTION("""COMPUTED_VALUE"""),1071.5)</f>
        <v>1071.5</v>
      </c>
      <c r="D157" s="26">
        <f>IFERROR(__xludf.DUMMYFUNCTION("""COMPUTED_VALUE"""),65.24)</f>
        <v>65.24</v>
      </c>
      <c r="E157" s="26">
        <f>IFERROR(__xludf.DUMMYFUNCTION("""COMPUTED_VALUE"""),1918.35)</f>
        <v>1918.35</v>
      </c>
      <c r="F157" s="28">
        <f>IFERROR(__xludf.DUMMYFUNCTION("""COMPUTED_VALUE"""),0.4414470769150572)</f>
        <v>0.4414470769</v>
      </c>
      <c r="G157" s="26">
        <f>IFERROR(__xludf.DUMMYFUNCTION("""COMPUTED_VALUE"""),1023.2)</f>
        <v>1023.2</v>
      </c>
      <c r="H157" s="28">
        <f>IFERROR(__xludf.DUMMYFUNCTION("""COMPUTED_VALUE"""),0.04720484753713834)</f>
        <v>0.04720484754</v>
      </c>
      <c r="I157" s="26">
        <f>IFERROR(__xludf.DUMMYFUNCTION("""COMPUTED_VALUE"""),1069.9)</f>
        <v>1069.9</v>
      </c>
      <c r="J157" s="28">
        <f>IFERROR(__xludf.DUMMYFUNCTION("""COMPUTED_VALUE"""),0.0014954668660621636)</f>
        <v>0.001495466866</v>
      </c>
      <c r="K157" s="26" t="s">
        <v>298</v>
      </c>
      <c r="L157" s="26" t="s">
        <v>424</v>
      </c>
      <c r="M157" s="29" t="str">
        <f t="array" ref="M157">IF(F157&gt;30%,"YES","NO")</f>
        <v>YES</v>
      </c>
      <c r="N157" s="29" t="str">
        <f t="array" ref="N157">IF(H157&lt;30%,"YES","NO")</f>
        <v>YES</v>
      </c>
      <c r="O157" s="29" t="str">
        <f t="array" ref="O157"> if(AND(D157&lt;65,M157="NO",N157="NO"),"GOOD STOCK","")</f>
        <v/>
      </c>
      <c r="P157" s="29" t="str">
        <f t="array" ref="P157"> ifs((B157/$B$2)*100&gt;=60,"Large cap stocks",and((B157/$B$2)*100&lt;60,(B157/$B$2)*100&gt;40),"Medium cap stocks",(B157/$B$2)*100&lt;40,"Small cap stocks")</f>
        <v>Small cap stocks</v>
      </c>
    </row>
    <row r="158">
      <c r="A158" s="26" t="str">
        <f>IFERROR(__xludf.DUMMYFUNCTION("""COMPUTED_VALUE"""),"Borosil Renewable")</f>
        <v>Borosil Renewable</v>
      </c>
      <c r="B158" s="27">
        <f>IFERROR(__xludf.DUMMYFUNCTION("""COMPUTED_VALUE"""),5686.243)</f>
        <v>5686.243</v>
      </c>
      <c r="C158" s="26">
        <f>IFERROR(__xludf.DUMMYFUNCTION("""COMPUTED_VALUE"""),499.35)</f>
        <v>499.35</v>
      </c>
      <c r="D158" s="26">
        <f>IFERROR(__xludf.DUMMYFUNCTION("""COMPUTED_VALUE"""),39.43)</f>
        <v>39.43</v>
      </c>
      <c r="E158" s="26">
        <f>IFERROR(__xludf.DUMMYFUNCTION("""COMPUTED_VALUE"""),833.0)</f>
        <v>833</v>
      </c>
      <c r="F158" s="28">
        <f>IFERROR(__xludf.DUMMYFUNCTION("""COMPUTED_VALUE"""),0.40054021608643453)</f>
        <v>0.4005402161</v>
      </c>
      <c r="G158" s="26">
        <f>IFERROR(__xludf.DUMMYFUNCTION("""COMPUTED_VALUE"""),468.0)</f>
        <v>468</v>
      </c>
      <c r="H158" s="28">
        <f>IFERROR(__xludf.DUMMYFUNCTION("""COMPUTED_VALUE"""),0.06698717948717954)</f>
        <v>0.06698717949</v>
      </c>
      <c r="I158" s="26">
        <f>IFERROR(__xludf.DUMMYFUNCTION("""COMPUTED_VALUE"""),494.9)</f>
        <v>494.9</v>
      </c>
      <c r="J158" s="28">
        <f>IFERROR(__xludf.DUMMYFUNCTION("""COMPUTED_VALUE"""),0.008991715498080513)</f>
        <v>0.008991715498</v>
      </c>
      <c r="K158" s="26" t="s">
        <v>355</v>
      </c>
      <c r="L158" s="26" t="s">
        <v>425</v>
      </c>
      <c r="M158" s="29" t="str">
        <f t="array" ref="M158">IF(F158&gt;30%,"YES","NO")</f>
        <v>YES</v>
      </c>
      <c r="N158" s="29" t="str">
        <f t="array" ref="N158">IF(H158&lt;30%,"YES","NO")</f>
        <v>YES</v>
      </c>
      <c r="O158" s="29" t="str">
        <f t="array" ref="O158"> if(AND(D158&lt;65,M158="NO",N158="NO"),"GOOD STOCK","")</f>
        <v/>
      </c>
      <c r="P158" s="29" t="str">
        <f t="array" ref="P158"> ifs((B158/$B$2)*100&gt;=60,"Large cap stocks",and((B158/$B$2)*100&lt;60,(B158/$B$2)*100&gt;40),"Medium cap stocks",(B158/$B$2)*100&lt;40,"Small cap stocks")</f>
        <v>Small cap stocks</v>
      </c>
    </row>
    <row r="159">
      <c r="A159" s="26" t="str">
        <f>IFERROR(__xludf.DUMMYFUNCTION("""COMPUTED_VALUE"""),"Orient Electric")</f>
        <v>Orient Electric</v>
      </c>
      <c r="B159" s="27">
        <f>IFERROR(__xludf.DUMMYFUNCTION("""COMPUTED_VALUE"""),5679.5794914)</f>
        <v>5679.579491</v>
      </c>
      <c r="C159" s="26">
        <f>IFERROR(__xludf.DUMMYFUNCTION("""COMPUTED_VALUE"""),267.2)</f>
        <v>267.2</v>
      </c>
      <c r="D159" s="26">
        <f>IFERROR(__xludf.DUMMYFUNCTION("""COMPUTED_VALUE"""),53.9)</f>
        <v>53.9</v>
      </c>
      <c r="E159" s="26">
        <f>IFERROR(__xludf.DUMMYFUNCTION("""COMPUTED_VALUE"""),372.2)</f>
        <v>372.2</v>
      </c>
      <c r="F159" s="28">
        <f>IFERROR(__xludf.DUMMYFUNCTION("""COMPUTED_VALUE"""),0.2821063944116067)</f>
        <v>0.2821063944</v>
      </c>
      <c r="G159" s="26">
        <f>IFERROR(__xludf.DUMMYFUNCTION("""COMPUTED_VALUE"""),244.0)</f>
        <v>244</v>
      </c>
      <c r="H159" s="28">
        <f>IFERROR(__xludf.DUMMYFUNCTION("""COMPUTED_VALUE"""),0.09508196721311471)</f>
        <v>0.09508196721</v>
      </c>
      <c r="I159" s="26">
        <f>IFERROR(__xludf.DUMMYFUNCTION("""COMPUTED_VALUE"""),268.4)</f>
        <v>268.4</v>
      </c>
      <c r="J159" s="28">
        <f>IFERROR(__xludf.DUMMYFUNCTION("""COMPUTED_VALUE"""),-0.004470938897168364)</f>
        <v>-0.004470938897</v>
      </c>
      <c r="K159" s="26" t="s">
        <v>282</v>
      </c>
      <c r="L159" s="26" t="s">
        <v>426</v>
      </c>
      <c r="M159" s="29" t="str">
        <f t="array" ref="M159">IF(F159&gt;30%,"YES","NO")</f>
        <v>NO</v>
      </c>
      <c r="N159" s="29" t="str">
        <f t="array" ref="N159">IF(H159&lt;30%,"YES","NO")</f>
        <v>YES</v>
      </c>
      <c r="O159" s="29" t="str">
        <f t="array" ref="O159"> if(AND(D159&lt;65,M159="NO",N159="NO"),"GOOD STOCK","")</f>
        <v/>
      </c>
      <c r="P159" s="29" t="str">
        <f t="array" ref="P159"> ifs((B159/$B$2)*100&gt;=60,"Large cap stocks",and((B159/$B$2)*100&lt;60,(B159/$B$2)*100&gt;40),"Medium cap stocks",(B159/$B$2)*100&lt;40,"Small cap stocks")</f>
        <v>Small cap stocks</v>
      </c>
    </row>
    <row r="160">
      <c r="A160" s="26" t="str">
        <f>IFERROR(__xludf.DUMMYFUNCTION("""COMPUTED_VALUE"""),"Gujarat Ambuja Export")</f>
        <v>Gujarat Ambuja Export</v>
      </c>
      <c r="B160" s="27">
        <f>IFERROR(__xludf.DUMMYFUNCTION("""COMPUTED_VALUE"""),5515.515)</f>
        <v>5515.515</v>
      </c>
      <c r="C160" s="26">
        <f>IFERROR(__xludf.DUMMYFUNCTION("""COMPUTED_VALUE"""),241.5)</f>
        <v>241.5</v>
      </c>
      <c r="D160" s="26">
        <f>IFERROR(__xludf.DUMMYFUNCTION("""COMPUTED_VALUE"""),12.67)</f>
        <v>12.67</v>
      </c>
      <c r="E160" s="26">
        <f>IFERROR(__xludf.DUMMYFUNCTION("""COMPUTED_VALUE"""),393.85)</f>
        <v>393.85</v>
      </c>
      <c r="F160" s="28">
        <f>IFERROR(__xludf.DUMMYFUNCTION("""COMPUTED_VALUE"""),0.38682239431255555)</f>
        <v>0.3868223943</v>
      </c>
      <c r="G160" s="26">
        <f>IFERROR(__xludf.DUMMYFUNCTION("""COMPUTED_VALUE"""),169.25)</f>
        <v>169.25</v>
      </c>
      <c r="H160" s="28">
        <f>IFERROR(__xludf.DUMMYFUNCTION("""COMPUTED_VALUE"""),0.42688330871491875)</f>
        <v>0.4268833087</v>
      </c>
      <c r="I160" s="26">
        <f>IFERROR(__xludf.DUMMYFUNCTION("""COMPUTED_VALUE"""),236.7)</f>
        <v>236.7</v>
      </c>
      <c r="J160" s="28">
        <f>IFERROR(__xludf.DUMMYFUNCTION("""COMPUTED_VALUE"""),0.020278833967046942)</f>
        <v>0.02027883397</v>
      </c>
      <c r="K160" s="26"/>
      <c r="L160" s="26" t="s">
        <v>427</v>
      </c>
      <c r="M160" s="29" t="str">
        <f t="array" ref="M160">IF(F160&gt;30%,"YES","NO")</f>
        <v>YES</v>
      </c>
      <c r="N160" s="29" t="str">
        <f t="array" ref="N160">IF(H160&lt;30%,"YES","NO")</f>
        <v>NO</v>
      </c>
      <c r="O160" s="29" t="str">
        <f t="array" ref="O160"> if(AND(D160&lt;65,M160="NO",N160="NO"),"GOOD STOCK","")</f>
        <v/>
      </c>
      <c r="P160" s="29" t="str">
        <f t="array" ref="P160"> ifs((B160/$B$2)*100&gt;=60,"Large cap stocks",and((B160/$B$2)*100&lt;60,(B160/$B$2)*100&gt;40),"Medium cap stocks",(B160/$B$2)*100&lt;40,"Small cap stocks")</f>
        <v>Small cap stocks</v>
      </c>
    </row>
    <row r="161">
      <c r="A161" s="26" t="str">
        <f>IFERROR(__xludf.DUMMYFUNCTION("""COMPUTED_VALUE"""),"Avanti Feed")</f>
        <v>Avanti Feed</v>
      </c>
      <c r="B161" s="27">
        <f>IFERROR(__xludf.DUMMYFUNCTION("""COMPUTED_VALUE"""),5305.4035808)</f>
        <v>5305.403581</v>
      </c>
      <c r="C161" s="26">
        <f>IFERROR(__xludf.DUMMYFUNCTION("""COMPUTED_VALUE"""),389.4)</f>
        <v>389.4</v>
      </c>
      <c r="D161" s="26">
        <f>IFERROR(__xludf.DUMMYFUNCTION("""COMPUTED_VALUE"""),21.44)</f>
        <v>21.44</v>
      </c>
      <c r="E161" s="26">
        <f>IFERROR(__xludf.DUMMYFUNCTION("""COMPUTED_VALUE"""),638.8)</f>
        <v>638.8</v>
      </c>
      <c r="F161" s="28">
        <f>IFERROR(__xludf.DUMMYFUNCTION("""COMPUTED_VALUE"""),0.39041953663118345)</f>
        <v>0.3904195366</v>
      </c>
      <c r="G161" s="26">
        <f>IFERROR(__xludf.DUMMYFUNCTION("""COMPUTED_VALUE"""),364.1)</f>
        <v>364.1</v>
      </c>
      <c r="H161" s="28">
        <f>IFERROR(__xludf.DUMMYFUNCTION("""COMPUTED_VALUE"""),0.06948640483383672)</f>
        <v>0.06948640483</v>
      </c>
      <c r="I161" s="26">
        <f>IFERROR(__xludf.DUMMYFUNCTION("""COMPUTED_VALUE"""),388.7)</f>
        <v>388.7</v>
      </c>
      <c r="J161" s="28">
        <f>IFERROR(__xludf.DUMMYFUNCTION("""COMPUTED_VALUE"""),0.001800874710573678)</f>
        <v>0.001800874711</v>
      </c>
      <c r="K161" s="26" t="s">
        <v>280</v>
      </c>
      <c r="L161" s="26" t="s">
        <v>428</v>
      </c>
      <c r="M161" s="29" t="str">
        <f t="array" ref="M161">IF(F161&gt;30%,"YES","NO")</f>
        <v>YES</v>
      </c>
      <c r="N161" s="29" t="str">
        <f t="array" ref="N161">IF(H161&lt;30%,"YES","NO")</f>
        <v>YES</v>
      </c>
      <c r="O161" s="29" t="str">
        <f t="array" ref="O161"> if(AND(D161&lt;65,M161="NO",N161="NO"),"GOOD STOCK","")</f>
        <v/>
      </c>
      <c r="P161" s="29" t="str">
        <f t="array" ref="P161"> ifs((B161/$B$2)*100&gt;=60,"Large cap stocks",and((B161/$B$2)*100&lt;60,(B161/$B$2)*100&gt;40),"Medium cap stocks",(B161/$B$2)*100&lt;40,"Small cap stocks")</f>
        <v>Small cap stocks</v>
      </c>
    </row>
    <row r="162">
      <c r="A162" s="26" t="str">
        <f>IFERROR(__xludf.DUMMYFUNCTION("""COMPUTED_VALUE"""),"MTAR")</f>
        <v>MTAR</v>
      </c>
      <c r="B162" s="27">
        <f>IFERROR(__xludf.DUMMYFUNCTION("""COMPUTED_VALUE"""),5182.98923)</f>
        <v>5182.98923</v>
      </c>
      <c r="C162" s="26">
        <f>IFERROR(__xludf.DUMMYFUNCTION("""COMPUTED_VALUE"""),1688.15)</f>
        <v>1688.15</v>
      </c>
      <c r="D162" s="26">
        <f>IFERROR(__xludf.DUMMYFUNCTION("""COMPUTED_VALUE"""),70.16)</f>
        <v>70.16</v>
      </c>
      <c r="E162" s="26">
        <f>IFERROR(__xludf.DUMMYFUNCTION("""COMPUTED_VALUE"""),2409.15)</f>
        <v>2409.15</v>
      </c>
      <c r="F162" s="28">
        <f>IFERROR(__xludf.DUMMYFUNCTION("""COMPUTED_VALUE"""),0.2992756781437436)</f>
        <v>0.2992756781</v>
      </c>
      <c r="G162" s="26">
        <f>IFERROR(__xludf.DUMMYFUNCTION("""COMPUTED_VALUE"""),1211.85)</f>
        <v>1211.85</v>
      </c>
      <c r="H162" s="28">
        <f>IFERROR(__xludf.DUMMYFUNCTION("""COMPUTED_VALUE"""),0.3930354416800761)</f>
        <v>0.3930354417</v>
      </c>
      <c r="I162" s="26">
        <f>IFERROR(__xludf.DUMMYFUNCTION("""COMPUTED_VALUE"""),1670.5)</f>
        <v>1670.5</v>
      </c>
      <c r="J162" s="28">
        <f>IFERROR(__xludf.DUMMYFUNCTION("""COMPUTED_VALUE"""),0.010565698892547196)</f>
        <v>0.01056569889</v>
      </c>
      <c r="K162" s="26" t="s">
        <v>315</v>
      </c>
      <c r="L162" s="26" t="s">
        <v>429</v>
      </c>
      <c r="M162" s="29" t="str">
        <f t="array" ref="M162">IF(F162&gt;30%,"YES","NO")</f>
        <v>NO</v>
      </c>
      <c r="N162" s="29" t="str">
        <f t="array" ref="N162">IF(H162&lt;30%,"YES","NO")</f>
        <v>NO</v>
      </c>
      <c r="O162" s="29" t="str">
        <f t="array" ref="O162"> if(AND(D162&lt;65,M162="NO",N162="NO"),"GOOD STOCK","")</f>
        <v/>
      </c>
      <c r="P162" s="29" t="str">
        <f t="array" ref="P162"> ifs((B162/$B$2)*100&gt;=60,"Large cap stocks",and((B162/$B$2)*100&lt;60,(B162/$B$2)*100&gt;40),"Medium cap stocks",(B162/$B$2)*100&lt;40,"Small cap stocks")</f>
        <v>Small cap stocks</v>
      </c>
    </row>
    <row r="163">
      <c r="A163" s="26" t="str">
        <f>IFERROR(__xludf.DUMMYFUNCTION("""COMPUTED_VALUE"""),"Mastek")</f>
        <v>Mastek</v>
      </c>
      <c r="B163" s="27">
        <f>IFERROR(__xludf.DUMMYFUNCTION("""COMPUTED_VALUE"""),5153.9576635)</f>
        <v>5153.957664</v>
      </c>
      <c r="C163" s="26">
        <f>IFERROR(__xludf.DUMMYFUNCTION("""COMPUTED_VALUE"""),1714.7)</f>
        <v>1714.7</v>
      </c>
      <c r="D163" s="26">
        <f>IFERROR(__xludf.DUMMYFUNCTION("""COMPUTED_VALUE"""),17.12)</f>
        <v>17.12</v>
      </c>
      <c r="E163" s="26">
        <f>IFERROR(__xludf.DUMMYFUNCTION("""COMPUTED_VALUE"""),3410.85)</f>
        <v>3410.85</v>
      </c>
      <c r="F163" s="28">
        <f>IFERROR(__xludf.DUMMYFUNCTION("""COMPUTED_VALUE"""),0.49728073647331306)</f>
        <v>0.4972807365</v>
      </c>
      <c r="G163" s="26">
        <f>IFERROR(__xludf.DUMMYFUNCTION("""COMPUTED_VALUE"""),1492.0)</f>
        <v>1492</v>
      </c>
      <c r="H163" s="28">
        <f>IFERROR(__xludf.DUMMYFUNCTION("""COMPUTED_VALUE"""),0.14926273458445044)</f>
        <v>0.1492627346</v>
      </c>
      <c r="I163" s="26">
        <f>IFERROR(__xludf.DUMMYFUNCTION("""COMPUTED_VALUE"""),1693.7)</f>
        <v>1693.7</v>
      </c>
      <c r="J163" s="28">
        <f>IFERROR(__xludf.DUMMYFUNCTION("""COMPUTED_VALUE"""),0.012398890004132962)</f>
        <v>0.01239889</v>
      </c>
      <c r="K163" s="26" t="s">
        <v>233</v>
      </c>
      <c r="L163" s="26" t="s">
        <v>430</v>
      </c>
      <c r="M163" s="29" t="str">
        <f t="array" ref="M163">IF(F163&gt;30%,"YES","NO")</f>
        <v>YES</v>
      </c>
      <c r="N163" s="29" t="str">
        <f t="array" ref="N163">IF(H163&lt;30%,"YES","NO")</f>
        <v>YES</v>
      </c>
      <c r="O163" s="29" t="str">
        <f t="array" ref="O163"> if(AND(D163&lt;65,M163="NO",N163="NO"),"GOOD STOCK","")</f>
        <v/>
      </c>
      <c r="P163" s="29" t="str">
        <f t="array" ref="P163"> ifs((B163/$B$2)*100&gt;=60,"Large cap stocks",and((B163/$B$2)*100&lt;60,(B163/$B$2)*100&gt;40),"Medium cap stocks",(B163/$B$2)*100&lt;40,"Small cap stocks")</f>
        <v>Small cap stocks</v>
      </c>
    </row>
    <row r="164">
      <c r="A164" s="26" t="str">
        <f>IFERROR(__xludf.DUMMYFUNCTION("""COMPUTED_VALUE"""),"Vaibhav Global")</f>
        <v>Vaibhav Global</v>
      </c>
      <c r="B164" s="27">
        <f>IFERROR(__xludf.DUMMYFUNCTION("""COMPUTED_VALUE"""),4927.69342)</f>
        <v>4927.69342</v>
      </c>
      <c r="C164" s="26">
        <f>IFERROR(__xludf.DUMMYFUNCTION("""COMPUTED_VALUE"""),299.0)</f>
        <v>299</v>
      </c>
      <c r="D164" s="26">
        <f>IFERROR(__xludf.DUMMYFUNCTION("""COMPUTED_VALUE"""),35.85)</f>
        <v>35.85</v>
      </c>
      <c r="E164" s="26">
        <f>IFERROR(__xludf.DUMMYFUNCTION("""COMPUTED_VALUE"""),566.5)</f>
        <v>566.5</v>
      </c>
      <c r="F164" s="28">
        <f>IFERROR(__xludf.DUMMYFUNCTION("""COMPUTED_VALUE"""),0.47219770520741394)</f>
        <v>0.4721977052</v>
      </c>
      <c r="G164" s="26">
        <f>IFERROR(__xludf.DUMMYFUNCTION("""COMPUTED_VALUE"""),288.0)</f>
        <v>288</v>
      </c>
      <c r="H164" s="28">
        <f>IFERROR(__xludf.DUMMYFUNCTION("""COMPUTED_VALUE"""),0.03819444444444445)</f>
        <v>0.03819444444</v>
      </c>
      <c r="I164" s="26">
        <f>IFERROR(__xludf.DUMMYFUNCTION("""COMPUTED_VALUE"""),297.35)</f>
        <v>297.35</v>
      </c>
      <c r="J164" s="28">
        <f>IFERROR(__xludf.DUMMYFUNCTION("""COMPUTED_VALUE"""),0.0055490163107448365)</f>
        <v>0.005549016311</v>
      </c>
      <c r="K164" s="26" t="s">
        <v>257</v>
      </c>
      <c r="L164" s="26" t="s">
        <v>431</v>
      </c>
      <c r="M164" s="29" t="str">
        <f t="array" ref="M164">IF(F164&gt;30%,"YES","NO")</f>
        <v>YES</v>
      </c>
      <c r="N164" s="29" t="str">
        <f t="array" ref="N164">IF(H164&lt;30%,"YES","NO")</f>
        <v>YES</v>
      </c>
      <c r="O164" s="29" t="str">
        <f t="array" ref="O164"> if(AND(D164&lt;65,M164="NO",N164="NO"),"GOOD STOCK","")</f>
        <v/>
      </c>
      <c r="P164" s="29" t="str">
        <f t="array" ref="P164"> ifs((B164/$B$2)*100&gt;=60,"Large cap stocks",and((B164/$B$2)*100&lt;60,(B164/$B$2)*100&gt;40),"Medium cap stocks",(B164/$B$2)*100&lt;40,"Small cap stocks")</f>
        <v>Small cap stocks</v>
      </c>
    </row>
    <row r="165">
      <c r="A165" s="26" t="str">
        <f>IFERROR(__xludf.DUMMYFUNCTION("""COMPUTED_VALUE"""),"Polyplex Corporation")</f>
        <v>Polyplex Corporation</v>
      </c>
      <c r="B165" s="27">
        <f>IFERROR(__xludf.DUMMYFUNCTION("""COMPUTED_VALUE"""),4868.970546)</f>
        <v>4868.970546</v>
      </c>
      <c r="C165" s="26">
        <f>IFERROR(__xludf.DUMMYFUNCTION("""COMPUTED_VALUE"""),1555.0)</f>
        <v>1555</v>
      </c>
      <c r="D165" s="26">
        <f>IFERROR(__xludf.DUMMYFUNCTION("""COMPUTED_VALUE"""),7.36)</f>
        <v>7.36</v>
      </c>
      <c r="E165" s="26">
        <f>IFERROR(__xludf.DUMMYFUNCTION("""COMPUTED_VALUE"""),2870.0)</f>
        <v>2870</v>
      </c>
      <c r="F165" s="28">
        <f>IFERROR(__xludf.DUMMYFUNCTION("""COMPUTED_VALUE"""),0.45818815331010454)</f>
        <v>0.4581881533</v>
      </c>
      <c r="G165" s="26">
        <f>IFERROR(__xludf.DUMMYFUNCTION("""COMPUTED_VALUE"""),1463.3)</f>
        <v>1463.3</v>
      </c>
      <c r="H165" s="28">
        <f>IFERROR(__xludf.DUMMYFUNCTION("""COMPUTED_VALUE"""),0.062666575548418)</f>
        <v>0.06266657555</v>
      </c>
      <c r="I165" s="26">
        <f>IFERROR(__xludf.DUMMYFUNCTION("""COMPUTED_VALUE"""),1559.1)</f>
        <v>1559.1</v>
      </c>
      <c r="J165" s="28">
        <f>IFERROR(__xludf.DUMMYFUNCTION("""COMPUTED_VALUE"""),-0.0026297222756718037)</f>
        <v>-0.002629722276</v>
      </c>
      <c r="K165" s="26" t="s">
        <v>432</v>
      </c>
      <c r="L165" s="26" t="s">
        <v>433</v>
      </c>
      <c r="M165" s="29" t="str">
        <f t="array" ref="M165">IF(F165&gt;30%,"YES","NO")</f>
        <v>YES</v>
      </c>
      <c r="N165" s="29" t="str">
        <f t="array" ref="N165">IF(H165&lt;30%,"YES","NO")</f>
        <v>YES</v>
      </c>
      <c r="O165" s="29" t="str">
        <f t="array" ref="O165"> if(AND(D165&lt;65,M165="NO",N165="NO"),"GOOD STOCK","")</f>
        <v/>
      </c>
      <c r="P165" s="29" t="str">
        <f t="array" ref="P165"> ifs((B165/$B$2)*100&gt;=60,"Large cap stocks",and((B165/$B$2)*100&lt;60,(B165/$B$2)*100&gt;40),"Medium cap stocks",(B165/$B$2)*100&lt;40,"Small cap stocks")</f>
        <v>Small cap stocks</v>
      </c>
    </row>
    <row r="166">
      <c r="A166" s="26" t="str">
        <f>IFERROR(__xludf.DUMMYFUNCTION("""COMPUTED_VALUE"""),"Zensar Tech")</f>
        <v>Zensar Tech</v>
      </c>
      <c r="B166" s="27">
        <f>IFERROR(__xludf.DUMMYFUNCTION("""COMPUTED_VALUE"""),4785.1628071)</f>
        <v>4785.162807</v>
      </c>
      <c r="C166" s="26">
        <f>IFERROR(__xludf.DUMMYFUNCTION("""COMPUTED_VALUE"""),211.35)</f>
        <v>211.35</v>
      </c>
      <c r="D166" s="26">
        <f>IFERROR(__xludf.DUMMYFUNCTION("""COMPUTED_VALUE"""),13.73)</f>
        <v>13.73</v>
      </c>
      <c r="E166" s="26">
        <f>IFERROR(__xludf.DUMMYFUNCTION("""COMPUTED_VALUE"""),496.1)</f>
        <v>496.1</v>
      </c>
      <c r="F166" s="28">
        <f>IFERROR(__xludf.DUMMYFUNCTION("""COMPUTED_VALUE"""),0.5739770207619431)</f>
        <v>0.5739770208</v>
      </c>
      <c r="G166" s="26">
        <f>IFERROR(__xludf.DUMMYFUNCTION("""COMPUTED_VALUE"""),202.0)</f>
        <v>202</v>
      </c>
      <c r="H166" s="28">
        <f>IFERROR(__xludf.DUMMYFUNCTION("""COMPUTED_VALUE"""),0.04628712871287126)</f>
        <v>0.04628712871</v>
      </c>
      <c r="I166" s="26">
        <f>IFERROR(__xludf.DUMMYFUNCTION("""COMPUTED_VALUE"""),212.4)</f>
        <v>212.4</v>
      </c>
      <c r="J166" s="28">
        <f>IFERROR(__xludf.DUMMYFUNCTION("""COMPUTED_VALUE"""),-0.00494350282485881)</f>
        <v>-0.004943502825</v>
      </c>
      <c r="K166" s="26" t="e">
        <v>#N/A</v>
      </c>
      <c r="L166" s="26" t="e">
        <v>#N/A</v>
      </c>
      <c r="M166" s="29" t="str">
        <f t="array" ref="M166">IF(F166&gt;30%,"YES","NO")</f>
        <v>YES</v>
      </c>
      <c r="N166" s="29" t="str">
        <f t="array" ref="N166">IF(H166&lt;30%,"YES","NO")</f>
        <v>YES</v>
      </c>
      <c r="O166" s="29" t="str">
        <f t="array" ref="O166"> if(AND(D166&lt;65,M166="NO",N166="NO"),"GOOD STOCK","")</f>
        <v/>
      </c>
      <c r="P166" s="29" t="str">
        <f t="array" ref="P166"> ifs((B166/$B$2)*100&gt;=60,"Large cap stocks",and((B166/$B$2)*100&lt;60,(B166/$B$2)*100&gt;40),"Medium cap stocks",(B166/$B$2)*100&lt;40,"Small cap stocks")</f>
        <v>Small cap stocks</v>
      </c>
    </row>
    <row r="167">
      <c r="A167" s="26" t="str">
        <f>IFERROR(__xludf.DUMMYFUNCTION("""COMPUTED_VALUE"""),"Lux Industries")</f>
        <v>Lux Industries</v>
      </c>
      <c r="B167" s="27">
        <f>IFERROR(__xludf.DUMMYFUNCTION("""COMPUTED_VALUE"""),4564.43)</f>
        <v>4564.43</v>
      </c>
      <c r="C167" s="26">
        <f>IFERROR(__xludf.DUMMYFUNCTION("""COMPUTED_VALUE"""),1524.7)</f>
        <v>1524.7</v>
      </c>
      <c r="D167" s="26">
        <f>IFERROR(__xludf.DUMMYFUNCTION("""COMPUTED_VALUE"""),17.12)</f>
        <v>17.12</v>
      </c>
      <c r="E167" s="26">
        <f>IFERROR(__xludf.DUMMYFUNCTION("""COMPUTED_VALUE"""),3925.0)</f>
        <v>3925</v>
      </c>
      <c r="F167" s="28">
        <f>IFERROR(__xludf.DUMMYFUNCTION("""COMPUTED_VALUE"""),0.6115414012738853)</f>
        <v>0.6115414013</v>
      </c>
      <c r="G167" s="26">
        <f>IFERROR(__xludf.DUMMYFUNCTION("""COMPUTED_VALUE"""),1515.1)</f>
        <v>1515.1</v>
      </c>
      <c r="H167" s="28">
        <f>IFERROR(__xludf.DUMMYFUNCTION("""COMPUTED_VALUE"""),0.0063362154313247555)</f>
        <v>0.006336215431</v>
      </c>
      <c r="I167" s="26">
        <f>IFERROR(__xludf.DUMMYFUNCTION("""COMPUTED_VALUE"""),1526.65)</f>
        <v>1526.65</v>
      </c>
      <c r="J167" s="28">
        <f>IFERROR(__xludf.DUMMYFUNCTION("""COMPUTED_VALUE"""),-0.0012773065208135756)</f>
        <v>-0.001277306521</v>
      </c>
      <c r="K167" s="26" t="s">
        <v>304</v>
      </c>
      <c r="L167" s="26" t="s">
        <v>434</v>
      </c>
      <c r="M167" s="29" t="str">
        <f t="array" ref="M167">IF(F167&gt;30%,"YES","NO")</f>
        <v>YES</v>
      </c>
      <c r="N167" s="29" t="str">
        <f t="array" ref="N167">IF(H167&lt;30%,"YES","NO")</f>
        <v>YES</v>
      </c>
      <c r="O167" s="29" t="str">
        <f t="array" ref="O167"> if(AND(D167&lt;65,M167="NO",N167="NO"),"GOOD STOCK","")</f>
        <v/>
      </c>
      <c r="P167" s="29" t="str">
        <f t="array" ref="P167"> ifs((B167/$B$2)*100&gt;=60,"Large cap stocks",and((B167/$B$2)*100&lt;60,(B167/$B$2)*100&gt;40),"Medium cap stocks",(B167/$B$2)*100&lt;40,"Small cap stocks")</f>
        <v>Small cap stocks</v>
      </c>
    </row>
    <row r="168">
      <c r="A168" s="26" t="str">
        <f>IFERROR(__xludf.DUMMYFUNCTION("""COMPUTED_VALUE"""),"Heidelberg Cement")</f>
        <v>Heidelberg Cement</v>
      </c>
      <c r="B168" s="27">
        <f>IFERROR(__xludf.DUMMYFUNCTION("""COMPUTED_VALUE"""),4230.867)</f>
        <v>4230.867</v>
      </c>
      <c r="C168" s="26">
        <f>IFERROR(__xludf.DUMMYFUNCTION("""COMPUTED_VALUE"""),186.9)</f>
        <v>186.9</v>
      </c>
      <c r="D168" s="26">
        <f>IFERROR(__xludf.DUMMYFUNCTION("""COMPUTED_VALUE"""),23.18)</f>
        <v>23.18</v>
      </c>
      <c r="E168" s="26">
        <f>IFERROR(__xludf.DUMMYFUNCTION("""COMPUTED_VALUE"""),242.0)</f>
        <v>242</v>
      </c>
      <c r="F168" s="28">
        <f>IFERROR(__xludf.DUMMYFUNCTION("""COMPUTED_VALUE"""),0.22768595041322312)</f>
        <v>0.2276859504</v>
      </c>
      <c r="G168" s="26">
        <f>IFERROR(__xludf.DUMMYFUNCTION("""COMPUTED_VALUE"""),164.0)</f>
        <v>164</v>
      </c>
      <c r="H168" s="28">
        <f>IFERROR(__xludf.DUMMYFUNCTION("""COMPUTED_VALUE"""),0.13963414634146346)</f>
        <v>0.1396341463</v>
      </c>
      <c r="I168" s="26">
        <f>IFERROR(__xludf.DUMMYFUNCTION("""COMPUTED_VALUE"""),186.85)</f>
        <v>186.85</v>
      </c>
      <c r="J168" s="28">
        <f>IFERROR(__xludf.DUMMYFUNCTION("""COMPUTED_VALUE"""),2.6759432700032847E-4)</f>
        <v>0.000267594327</v>
      </c>
      <c r="K168" s="26" t="s">
        <v>259</v>
      </c>
      <c r="L168" s="26" t="s">
        <v>435</v>
      </c>
      <c r="M168" s="29" t="str">
        <f t="array" ref="M168">IF(F168&gt;30%,"YES","NO")</f>
        <v>NO</v>
      </c>
      <c r="N168" s="29" t="str">
        <f t="array" ref="N168">IF(H168&lt;30%,"YES","NO")</f>
        <v>YES</v>
      </c>
      <c r="O168" s="29" t="str">
        <f t="array" ref="O168"> if(AND(D168&lt;65,M168="NO",N168="NO"),"GOOD STOCK","")</f>
        <v/>
      </c>
      <c r="P168" s="29" t="str">
        <f t="array" ref="P168"> ifs((B168/$B$2)*100&gt;=60,"Large cap stocks",and((B168/$B$2)*100&lt;60,(B168/$B$2)*100&gt;40),"Medium cap stocks",(B168/$B$2)*100&lt;40,"Small cap stocks")</f>
        <v>Small cap stocks</v>
      </c>
    </row>
    <row r="169">
      <c r="A169" s="26" t="str">
        <f>IFERROR(__xludf.DUMMYFUNCTION("""COMPUTED_VALUE"""),"Aarti Drugs")</f>
        <v>Aarti Drugs</v>
      </c>
      <c r="B169" s="27">
        <f>IFERROR(__xludf.DUMMYFUNCTION("""COMPUTED_VALUE"""),4148.48)</f>
        <v>4148.48</v>
      </c>
      <c r="C169" s="26">
        <f>IFERROR(__xludf.DUMMYFUNCTION("""COMPUTED_VALUE"""),448.0)</f>
        <v>448</v>
      </c>
      <c r="D169" s="26">
        <f>IFERROR(__xludf.DUMMYFUNCTION("""COMPUTED_VALUE"""),22.17)</f>
        <v>22.17</v>
      </c>
      <c r="E169" s="26">
        <f>IFERROR(__xludf.DUMMYFUNCTION("""COMPUTED_VALUE"""),537.4)</f>
        <v>537.4</v>
      </c>
      <c r="F169" s="28">
        <f>IFERROR(__xludf.DUMMYFUNCTION("""COMPUTED_VALUE"""),0.16635653144771118)</f>
        <v>0.1663565314</v>
      </c>
      <c r="G169" s="26">
        <f>IFERROR(__xludf.DUMMYFUNCTION("""COMPUTED_VALUE"""),378.4)</f>
        <v>378.4</v>
      </c>
      <c r="H169" s="28">
        <f>IFERROR(__xludf.DUMMYFUNCTION("""COMPUTED_VALUE"""),0.18393234672304448)</f>
        <v>0.1839323467</v>
      </c>
      <c r="I169" s="26">
        <f>IFERROR(__xludf.DUMMYFUNCTION("""COMPUTED_VALUE"""),445.5)</f>
        <v>445.5</v>
      </c>
      <c r="J169" s="28">
        <f>IFERROR(__xludf.DUMMYFUNCTION("""COMPUTED_VALUE"""),0.005611672278338945)</f>
        <v>0.005611672278</v>
      </c>
      <c r="K169" s="26" t="s">
        <v>254</v>
      </c>
      <c r="L169" s="26" t="s">
        <v>436</v>
      </c>
      <c r="M169" s="29" t="str">
        <f t="array" ref="M169">IF(F169&gt;30%,"YES","NO")</f>
        <v>NO</v>
      </c>
      <c r="N169" s="29" t="str">
        <f t="array" ref="N169">IF(H169&lt;30%,"YES","NO")</f>
        <v>YES</v>
      </c>
      <c r="O169" s="29" t="str">
        <f t="array" ref="O169"> if(AND(D169&lt;65,M169="NO",N169="NO"),"GOOD STOCK","")</f>
        <v/>
      </c>
      <c r="P169" s="29" t="str">
        <f t="array" ref="P169"> ifs((B169/$B$2)*100&gt;=60,"Large cap stocks",and((B169/$B$2)*100&lt;60,(B169/$B$2)*100&gt;40),"Medium cap stocks",(B169/$B$2)*100&lt;40,"Small cap stocks")</f>
        <v>Small cap stocks</v>
      </c>
    </row>
    <row r="170">
      <c r="A170" s="26" t="str">
        <f>IFERROR(__xludf.DUMMYFUNCTION("""COMPUTED_VALUE"""),"Rossari Biotech")</f>
        <v>Rossari Biotech</v>
      </c>
      <c r="B170" s="27">
        <f>IFERROR(__xludf.DUMMYFUNCTION("""COMPUTED_VALUE"""),3951.357)</f>
        <v>3951.357</v>
      </c>
      <c r="C170" s="26">
        <f>IFERROR(__xludf.DUMMYFUNCTION("""COMPUTED_VALUE"""),717.0)</f>
        <v>717</v>
      </c>
      <c r="D170" s="26">
        <f>IFERROR(__xludf.DUMMYFUNCTION("""COMPUTED_VALUE"""),39.87)</f>
        <v>39.87</v>
      </c>
      <c r="E170" s="26">
        <f>IFERROR(__xludf.DUMMYFUNCTION("""COMPUTED_VALUE"""),1375.0)</f>
        <v>1375</v>
      </c>
      <c r="F170" s="28">
        <f>IFERROR(__xludf.DUMMYFUNCTION("""COMPUTED_VALUE"""),0.47854545454545455)</f>
        <v>0.4785454545</v>
      </c>
      <c r="G170" s="26">
        <f>IFERROR(__xludf.DUMMYFUNCTION("""COMPUTED_VALUE"""),675.0)</f>
        <v>675</v>
      </c>
      <c r="H170" s="28">
        <f>IFERROR(__xludf.DUMMYFUNCTION("""COMPUTED_VALUE"""),0.06222222222222222)</f>
        <v>0.06222222222</v>
      </c>
      <c r="I170" s="26">
        <f>IFERROR(__xludf.DUMMYFUNCTION("""COMPUTED_VALUE"""),726.2)</f>
        <v>726.2</v>
      </c>
      <c r="J170" s="28">
        <f>IFERROR(__xludf.DUMMYFUNCTION("""COMPUTED_VALUE"""),-0.012668686312310721)</f>
        <v>-0.01266868631</v>
      </c>
      <c r="K170" s="26" t="s">
        <v>265</v>
      </c>
      <c r="L170" s="26" t="s">
        <v>437</v>
      </c>
      <c r="M170" s="29" t="str">
        <f t="array" ref="M170">IF(F170&gt;30%,"YES","NO")</f>
        <v>YES</v>
      </c>
      <c r="N170" s="29" t="str">
        <f t="array" ref="N170">IF(H170&lt;30%,"YES","NO")</f>
        <v>YES</v>
      </c>
      <c r="O170" s="29" t="str">
        <f t="array" ref="O170"> if(AND(D170&lt;65,M170="NO",N170="NO"),"GOOD STOCK","")</f>
        <v/>
      </c>
      <c r="P170" s="29" t="str">
        <f t="array" ref="P170"> ifs((B170/$B$2)*100&gt;=60,"Large cap stocks",and((B170/$B$2)*100&lt;60,(B170/$B$2)*100&gt;40),"Medium cap stocks",(B170/$B$2)*100&lt;40,"Small cap stocks")</f>
        <v>Small cap stocks</v>
      </c>
    </row>
    <row r="171">
      <c r="A171" s="26" t="str">
        <f>IFERROR(__xludf.DUMMYFUNCTION("""COMPUTED_VALUE"""),"Bharat Rasayan")</f>
        <v>Bharat Rasayan</v>
      </c>
      <c r="B171" s="27">
        <f>IFERROR(__xludf.DUMMYFUNCTION("""COMPUTED_VALUE"""),3941.666)</f>
        <v>3941.666</v>
      </c>
      <c r="C171" s="26">
        <f>IFERROR(__xludf.DUMMYFUNCTION("""COMPUTED_VALUE"""),9517.9)</f>
        <v>9517.9</v>
      </c>
      <c r="D171" s="26">
        <f>IFERROR(__xludf.DUMMYFUNCTION("""COMPUTED_VALUE"""),23.12)</f>
        <v>23.12</v>
      </c>
      <c r="E171" s="26">
        <f>IFERROR(__xludf.DUMMYFUNCTION("""COMPUTED_VALUE"""),14362.9)</f>
        <v>14362.9</v>
      </c>
      <c r="F171" s="28">
        <f>IFERROR(__xludf.DUMMYFUNCTION("""COMPUTED_VALUE"""),0.3373274199500101)</f>
        <v>0.33732742</v>
      </c>
      <c r="G171" s="26">
        <f>IFERROR(__xludf.DUMMYFUNCTION("""COMPUTED_VALUE"""),9301.0)</f>
        <v>9301</v>
      </c>
      <c r="H171" s="28">
        <f>IFERROR(__xludf.DUMMYFUNCTION("""COMPUTED_VALUE"""),0.023320073110418196)</f>
        <v>0.02332007311</v>
      </c>
      <c r="I171" s="26">
        <f>IFERROR(__xludf.DUMMYFUNCTION("""COMPUTED_VALUE"""),9497.7)</f>
        <v>9497.7</v>
      </c>
      <c r="J171" s="28">
        <f>IFERROR(__xludf.DUMMYFUNCTION("""COMPUTED_VALUE"""),0.00212683070638143)</f>
        <v>0.002126830706</v>
      </c>
      <c r="K171" s="26" t="s">
        <v>292</v>
      </c>
      <c r="L171" s="26" t="s">
        <v>438</v>
      </c>
      <c r="M171" s="29" t="str">
        <f t="array" ref="M171">IF(F171&gt;30%,"YES","NO")</f>
        <v>YES</v>
      </c>
      <c r="N171" s="29" t="str">
        <f t="array" ref="N171">IF(H171&lt;30%,"YES","NO")</f>
        <v>YES</v>
      </c>
      <c r="O171" s="29" t="str">
        <f t="array" ref="O171"> if(AND(D171&lt;65,M171="NO",N171="NO"),"GOOD STOCK","")</f>
        <v/>
      </c>
      <c r="P171" s="29" t="str">
        <f t="array" ref="P171"> ifs((B171/$B$2)*100&gt;=60,"Large cap stocks",and((B171/$B$2)*100&lt;60,(B171/$B$2)*100&gt;40),"Medium cap stocks",(B171/$B$2)*100&lt;40,"Small cap stocks")</f>
        <v>Small cap stocks</v>
      </c>
    </row>
    <row r="172">
      <c r="A172" s="26" t="str">
        <f>IFERROR(__xludf.DUMMYFUNCTION("""COMPUTED_VALUE"""),"Dhanuka Agritech")</f>
        <v>Dhanuka Agritech</v>
      </c>
      <c r="B172" s="27">
        <f>IFERROR(__xludf.DUMMYFUNCTION("""COMPUTED_VALUE"""),3345.7206687)</f>
        <v>3345.720669</v>
      </c>
      <c r="C172" s="26">
        <f>IFERROR(__xludf.DUMMYFUNCTION("""COMPUTED_VALUE"""),717.5)</f>
        <v>717.5</v>
      </c>
      <c r="D172" s="26">
        <f>IFERROR(__xludf.DUMMYFUNCTION("""COMPUTED_VALUE"""),15.26)</f>
        <v>15.26</v>
      </c>
      <c r="E172" s="26">
        <f>IFERROR(__xludf.DUMMYFUNCTION("""COMPUTED_VALUE"""),815.0)</f>
        <v>815</v>
      </c>
      <c r="F172" s="28">
        <f>IFERROR(__xludf.DUMMYFUNCTION("""COMPUTED_VALUE"""),0.1196319018404908)</f>
        <v>0.1196319018</v>
      </c>
      <c r="G172" s="26">
        <f>IFERROR(__xludf.DUMMYFUNCTION("""COMPUTED_VALUE"""),630.65)</f>
        <v>630.65</v>
      </c>
      <c r="H172" s="28">
        <f>IFERROR(__xludf.DUMMYFUNCTION("""COMPUTED_VALUE"""),0.13771505589471184)</f>
        <v>0.1377150559</v>
      </c>
      <c r="I172" s="26">
        <f>IFERROR(__xludf.DUMMYFUNCTION("""COMPUTED_VALUE"""),724.95)</f>
        <v>724.95</v>
      </c>
      <c r="J172" s="28">
        <f>IFERROR(__xludf.DUMMYFUNCTION("""COMPUTED_VALUE"""),-0.01027657079798613)</f>
        <v>-0.0102765708</v>
      </c>
      <c r="K172" s="26" t="s">
        <v>292</v>
      </c>
      <c r="L172" s="26" t="s">
        <v>439</v>
      </c>
      <c r="M172" s="29" t="str">
        <f t="array" ref="M172">IF(F172&gt;30%,"YES","NO")</f>
        <v>NO</v>
      </c>
      <c r="N172" s="29" t="str">
        <f t="array" ref="N172">IF(H172&lt;30%,"YES","NO")</f>
        <v>YES</v>
      </c>
      <c r="O172" s="29" t="str">
        <f t="array" ref="O172"> if(AND(D172&lt;65,M172="NO",N172="NO"),"GOOD STOCK","")</f>
        <v/>
      </c>
      <c r="P172" s="29" t="str">
        <f t="array" ref="P172"> ifs((B172/$B$2)*100&gt;=60,"Large cap stocks",and((B172/$B$2)*100&lt;60,(B172/$B$2)*100&gt;40),"Medium cap stocks",(B172/$B$2)*100&lt;40,"Small cap stocks")</f>
        <v>Small cap stocks</v>
      </c>
    </row>
    <row r="173">
      <c r="A173" s="26" t="str">
        <f>IFERROR(__xludf.DUMMYFUNCTION("""COMPUTED_VALUE"""),"Somany home innovation ltd")</f>
        <v>Somany home innovation ltd</v>
      </c>
      <c r="B173" s="27">
        <f>IFERROR(__xludf.DUMMYFUNCTION("""COMPUTED_VALUE"""),3335.191069)</f>
        <v>3335.191069</v>
      </c>
      <c r="C173" s="26">
        <f>IFERROR(__xludf.DUMMYFUNCTION("""COMPUTED_VALUE"""),462.25)</f>
        <v>462.25</v>
      </c>
      <c r="D173" s="26">
        <f>IFERROR(__xludf.DUMMYFUNCTION("""COMPUTED_VALUE"""),33.36)</f>
        <v>33.36</v>
      </c>
      <c r="E173" s="26">
        <f>IFERROR(__xludf.DUMMYFUNCTION("""COMPUTED_VALUE"""),480.4)</f>
        <v>480.4</v>
      </c>
      <c r="F173" s="28">
        <f>IFERROR(__xludf.DUMMYFUNCTION("""COMPUTED_VALUE"""),0.03778101582014983)</f>
        <v>0.03778101582</v>
      </c>
      <c r="G173" s="26">
        <f>IFERROR(__xludf.DUMMYFUNCTION("""COMPUTED_VALUE"""),258.95)</f>
        <v>258.95</v>
      </c>
      <c r="H173" s="28">
        <f>IFERROR(__xludf.DUMMYFUNCTION("""COMPUTED_VALUE"""),0.7850936474222824)</f>
        <v>0.7850936474</v>
      </c>
      <c r="I173" s="26">
        <f>IFERROR(__xludf.DUMMYFUNCTION("""COMPUTED_VALUE"""),473.2)</f>
        <v>473.2</v>
      </c>
      <c r="J173" s="28">
        <f>IFERROR(__xludf.DUMMYFUNCTION("""COMPUTED_VALUE"""),-0.02314032121724427)</f>
        <v>-0.02314032122</v>
      </c>
      <c r="K173" s="26" t="s">
        <v>440</v>
      </c>
      <c r="L173" s="26" t="s">
        <v>441</v>
      </c>
      <c r="M173" s="29" t="str">
        <f t="array" ref="M173">IF(F173&gt;30%,"YES","NO")</f>
        <v>NO</v>
      </c>
      <c r="N173" s="29" t="str">
        <f t="array" ref="N173">IF(H173&lt;30%,"YES","NO")</f>
        <v>NO</v>
      </c>
      <c r="O173" s="29" t="str">
        <f t="array" ref="O173"> if(AND(D173&lt;65,M173="NO",N173="NO"),"GOOD STOCK","")</f>
        <v>GOOD STOCK</v>
      </c>
      <c r="P173" s="29" t="str">
        <f t="array" ref="P173"> ifs((B173/$B$2)*100&gt;=60,"Large cap stocks",and((B173/$B$2)*100&lt;60,(B173/$B$2)*100&gt;40),"Medium cap stocks",(B173/$B$2)*100&lt;40,"Small cap stocks")</f>
        <v>Small cap stocks</v>
      </c>
    </row>
    <row r="174">
      <c r="A174" s="26" t="str">
        <f>IFERROR(__xludf.DUMMYFUNCTION("""COMPUTED_VALUE"""),"Astec Lifesciences")</f>
        <v>Astec Lifesciences</v>
      </c>
      <c r="B174" s="27">
        <f>IFERROR(__xludf.DUMMYFUNCTION("""COMPUTED_VALUE"""),3279.733)</f>
        <v>3279.733</v>
      </c>
      <c r="C174" s="26">
        <f>IFERROR(__xludf.DUMMYFUNCTION("""COMPUTED_VALUE"""),1669.3)</f>
        <v>1669.3</v>
      </c>
      <c r="D174" s="26">
        <f>IFERROR(__xludf.DUMMYFUNCTION("""COMPUTED_VALUE"""),33.56)</f>
        <v>33.56</v>
      </c>
      <c r="E174" s="26">
        <f>IFERROR(__xludf.DUMMYFUNCTION("""COMPUTED_VALUE"""),2285.65)</f>
        <v>2285.65</v>
      </c>
      <c r="F174" s="28">
        <f>IFERROR(__xludf.DUMMYFUNCTION("""COMPUTED_VALUE"""),0.2696607092074465)</f>
        <v>0.2696607092</v>
      </c>
      <c r="G174" s="26">
        <f>IFERROR(__xludf.DUMMYFUNCTION("""COMPUTED_VALUE"""),1276.15)</f>
        <v>1276.15</v>
      </c>
      <c r="H174" s="28">
        <f>IFERROR(__xludf.DUMMYFUNCTION("""COMPUTED_VALUE"""),0.30807506954511604)</f>
        <v>0.3080750695</v>
      </c>
      <c r="I174" s="26">
        <f>IFERROR(__xludf.DUMMYFUNCTION("""COMPUTED_VALUE"""),1635.25)</f>
        <v>1635.25</v>
      </c>
      <c r="J174" s="28">
        <f>IFERROR(__xludf.DUMMYFUNCTION("""COMPUTED_VALUE"""),0.020822504204250088)</f>
        <v>0.0208225042</v>
      </c>
      <c r="K174" s="26" t="s">
        <v>254</v>
      </c>
      <c r="L174" s="26" t="s">
        <v>442</v>
      </c>
      <c r="M174" s="29" t="str">
        <f t="array" ref="M174">IF(F174&gt;30%,"YES","NO")</f>
        <v>NO</v>
      </c>
      <c r="N174" s="29" t="str">
        <f t="array" ref="N174">IF(H174&lt;30%,"YES","NO")</f>
        <v>NO</v>
      </c>
      <c r="O174" s="29" t="str">
        <f t="array" ref="O174"> if(AND(D174&lt;65,M174="NO",N174="NO"),"GOOD STOCK","")</f>
        <v>GOOD STOCK</v>
      </c>
      <c r="P174" s="29" t="str">
        <f t="array" ref="P174"> ifs((B174/$B$2)*100&gt;=60,"Large cap stocks",and((B174/$B$2)*100&lt;60,(B174/$B$2)*100&gt;40),"Medium cap stocks",(B174/$B$2)*100&lt;40,"Small cap stocks")</f>
        <v>Small cap stocks</v>
      </c>
    </row>
    <row r="175">
      <c r="A175" s="26" t="str">
        <f>IFERROR(__xludf.DUMMYFUNCTION("""COMPUTED_VALUE"""),"Mold tech")</f>
        <v>Mold tech</v>
      </c>
      <c r="B175" s="27">
        <f>IFERROR(__xludf.DUMMYFUNCTION("""COMPUTED_VALUE"""),3279.606)</f>
        <v>3279.606</v>
      </c>
      <c r="C175" s="26">
        <f>IFERROR(__xludf.DUMMYFUNCTION("""COMPUTED_VALUE"""),988.1)</f>
        <v>988.1</v>
      </c>
      <c r="D175" s="26">
        <f>IFERROR(__xludf.DUMMYFUNCTION("""COMPUTED_VALUE"""),41.73)</f>
        <v>41.73</v>
      </c>
      <c r="E175" s="26">
        <f>IFERROR(__xludf.DUMMYFUNCTION("""COMPUTED_VALUE"""),1057.85)</f>
        <v>1057.85</v>
      </c>
      <c r="F175" s="28">
        <f>IFERROR(__xludf.DUMMYFUNCTION("""COMPUTED_VALUE"""),0.06593562414330945)</f>
        <v>0.06593562414</v>
      </c>
      <c r="G175" s="26">
        <f>IFERROR(__xludf.DUMMYFUNCTION("""COMPUTED_VALUE"""),648.05)</f>
        <v>648.05</v>
      </c>
      <c r="H175" s="28">
        <f>IFERROR(__xludf.DUMMYFUNCTION("""COMPUTED_VALUE"""),0.52472803024458)</f>
        <v>0.5247280302</v>
      </c>
      <c r="I175" s="26">
        <f>IFERROR(__xludf.DUMMYFUNCTION("""COMPUTED_VALUE"""),991.35)</f>
        <v>991.35</v>
      </c>
      <c r="J175" s="28">
        <f>IFERROR(__xludf.DUMMYFUNCTION("""COMPUTED_VALUE"""),-0.0032783577949261106)</f>
        <v>-0.003278357795</v>
      </c>
      <c r="K175" s="26"/>
      <c r="L175" s="26" t="s">
        <v>443</v>
      </c>
      <c r="M175" s="29" t="str">
        <f t="array" ref="M175">IF(F175&gt;30%,"YES","NO")</f>
        <v>NO</v>
      </c>
      <c r="N175" s="29" t="str">
        <f t="array" ref="N175">IF(H175&lt;30%,"YES","NO")</f>
        <v>NO</v>
      </c>
      <c r="O175" s="29" t="str">
        <f t="array" ref="O175"> if(AND(D175&lt;65,M175="NO",N175="NO"),"GOOD STOCK","")</f>
        <v>GOOD STOCK</v>
      </c>
      <c r="P175" s="29" t="str">
        <f t="array" ref="P175"> ifs((B175/$B$2)*100&gt;=60,"Large cap stocks",and((B175/$B$2)*100&lt;60,(B175/$B$2)*100&gt;40),"Medium cap stocks",(B175/$B$2)*100&lt;40,"Small cap stocks")</f>
        <v>Small cap stocks</v>
      </c>
    </row>
    <row r="176">
      <c r="A176" s="26" t="str">
        <f>IFERROR(__xludf.DUMMYFUNCTION("""COMPUTED_VALUE"""),"Hawkins Cooker")</f>
        <v>Hawkins Cooker</v>
      </c>
      <c r="B176" s="27">
        <f>IFERROR(__xludf.DUMMYFUNCTION("""COMPUTED_VALUE"""),3273.157)</f>
        <v>3273.157</v>
      </c>
      <c r="C176" s="26">
        <f>IFERROR(__xludf.DUMMYFUNCTION("""COMPUTED_VALUE"""),6195.0)</f>
        <v>6195</v>
      </c>
      <c r="D176" s="26">
        <f>IFERROR(__xludf.DUMMYFUNCTION("""COMPUTED_VALUE"""),34.69)</f>
        <v>34.69</v>
      </c>
      <c r="E176" s="26">
        <f>IFERROR(__xludf.DUMMYFUNCTION("""COMPUTED_VALUE"""),6572.75)</f>
        <v>6572.75</v>
      </c>
      <c r="F176" s="28">
        <f>IFERROR(__xludf.DUMMYFUNCTION("""COMPUTED_VALUE"""),0.057472138754706935)</f>
        <v>0.05747213875</v>
      </c>
      <c r="G176" s="26">
        <f>IFERROR(__xludf.DUMMYFUNCTION("""COMPUTED_VALUE"""),4932.05)</f>
        <v>4932.05</v>
      </c>
      <c r="H176" s="28">
        <f>IFERROR(__xludf.DUMMYFUNCTION("""COMPUTED_VALUE"""),0.256069991180138)</f>
        <v>0.2560699912</v>
      </c>
      <c r="I176" s="26">
        <f>IFERROR(__xludf.DUMMYFUNCTION("""COMPUTED_VALUE"""),6169.85)</f>
        <v>6169.85</v>
      </c>
      <c r="J176" s="28">
        <f>IFERROR(__xludf.DUMMYFUNCTION("""COMPUTED_VALUE"""),0.004076274139565733)</f>
        <v>0.00407627414</v>
      </c>
      <c r="K176" s="26" t="s">
        <v>282</v>
      </c>
      <c r="L176" s="26" t="s">
        <v>444</v>
      </c>
      <c r="M176" s="29" t="str">
        <f t="array" ref="M176">IF(F176&gt;30%,"YES","NO")</f>
        <v>NO</v>
      </c>
      <c r="N176" s="29" t="str">
        <f t="array" ref="N176">IF(H176&lt;30%,"YES","NO")</f>
        <v>YES</v>
      </c>
      <c r="O176" s="29" t="str">
        <f t="array" ref="O176"> if(AND(D176&lt;65,M176="NO",N176="NO"),"GOOD STOCK","")</f>
        <v/>
      </c>
      <c r="P176" s="29" t="str">
        <f t="array" ref="P176"> ifs((B176/$B$2)*100&gt;=60,"Large cap stocks",and((B176/$B$2)*100&lt;60,(B176/$B$2)*100&gt;40),"Medium cap stocks",(B176/$B$2)*100&lt;40,"Small cap stocks")</f>
        <v>Small cap stocks</v>
      </c>
    </row>
    <row r="177">
      <c r="A177" s="26" t="str">
        <f>IFERROR(__xludf.DUMMYFUNCTION("""COMPUTED_VALUE"""),"Neogen Chemcial")</f>
        <v>Neogen Chemcial</v>
      </c>
      <c r="B177" s="27">
        <f>IFERROR(__xludf.DUMMYFUNCTION("""COMPUTED_VALUE"""),3099.3320457)</f>
        <v>3099.332046</v>
      </c>
      <c r="C177" s="26">
        <f>IFERROR(__xludf.DUMMYFUNCTION("""COMPUTED_VALUE"""),1242.8)</f>
        <v>1242.8</v>
      </c>
      <c r="D177" s="26">
        <f>IFERROR(__xludf.DUMMYFUNCTION("""COMPUTED_VALUE"""),68.51)</f>
        <v>68.51</v>
      </c>
      <c r="E177" s="26">
        <f>IFERROR(__xludf.DUMMYFUNCTION("""COMPUTED_VALUE"""),1842.2)</f>
        <v>1842.2</v>
      </c>
      <c r="F177" s="28">
        <f>IFERROR(__xludf.DUMMYFUNCTION("""COMPUTED_VALUE"""),0.32537183801975905)</f>
        <v>0.325371838</v>
      </c>
      <c r="G177" s="26">
        <f>IFERROR(__xludf.DUMMYFUNCTION("""COMPUTED_VALUE"""),1201.25)</f>
        <v>1201.25</v>
      </c>
      <c r="H177" s="28">
        <f>IFERROR(__xludf.DUMMYFUNCTION("""COMPUTED_VALUE"""),0.0345889698231009)</f>
        <v>0.03458896982</v>
      </c>
      <c r="I177" s="26">
        <f>IFERROR(__xludf.DUMMYFUNCTION("""COMPUTED_VALUE"""),1229.5)</f>
        <v>1229.5</v>
      </c>
      <c r="J177" s="28">
        <f>IFERROR(__xludf.DUMMYFUNCTION("""COMPUTED_VALUE"""),0.010817405449369625)</f>
        <v>0.01081740545</v>
      </c>
      <c r="K177" s="26" t="s">
        <v>265</v>
      </c>
      <c r="L177" s="26" t="s">
        <v>445</v>
      </c>
      <c r="M177" s="29" t="str">
        <f t="array" ref="M177">IF(F177&gt;30%,"YES","NO")</f>
        <v>YES</v>
      </c>
      <c r="N177" s="29" t="str">
        <f t="array" ref="N177">IF(H177&lt;30%,"YES","NO")</f>
        <v>YES</v>
      </c>
      <c r="O177" s="29" t="str">
        <f t="array" ref="O177"> if(AND(D177&lt;65,M177="NO",N177="NO"),"GOOD STOCK","")</f>
        <v/>
      </c>
      <c r="P177" s="29" t="str">
        <f t="array" ref="P177"> ifs((B177/$B$2)*100&gt;=60,"Large cap stocks",and((B177/$B$2)*100&lt;60,(B177/$B$2)*100&gt;40),"Medium cap stocks",(B177/$B$2)*100&lt;40,"Small cap stocks")</f>
        <v>Small cap stocks</v>
      </c>
    </row>
    <row r="178">
      <c r="A178" s="26" t="str">
        <f>IFERROR(__xludf.DUMMYFUNCTION("""COMPUTED_VALUE"""),"Advance Enzymes")</f>
        <v>Advance Enzymes</v>
      </c>
      <c r="B178" s="27">
        <f>IFERROR(__xludf.DUMMYFUNCTION("""COMPUTED_VALUE"""),3094.098595)</f>
        <v>3094.098595</v>
      </c>
      <c r="C178" s="26">
        <f>IFERROR(__xludf.DUMMYFUNCTION("""COMPUTED_VALUE"""),276.7)</f>
        <v>276.7</v>
      </c>
      <c r="D178" s="26">
        <f>IFERROR(__xludf.DUMMYFUNCTION("""COMPUTED_VALUE"""),32.26)</f>
        <v>32.26</v>
      </c>
      <c r="E178" s="26">
        <f>IFERROR(__xludf.DUMMYFUNCTION("""COMPUTED_VALUE"""),354.9)</f>
        <v>354.9</v>
      </c>
      <c r="F178" s="28">
        <f>IFERROR(__xludf.DUMMYFUNCTION("""COMPUTED_VALUE"""),0.22034375880529725)</f>
        <v>0.2203437588</v>
      </c>
      <c r="G178" s="26">
        <f>IFERROR(__xludf.DUMMYFUNCTION("""COMPUTED_VALUE"""),258.4)</f>
        <v>258.4</v>
      </c>
      <c r="H178" s="28">
        <f>IFERROR(__xludf.DUMMYFUNCTION("""COMPUTED_VALUE"""),0.07082043343653256)</f>
        <v>0.07082043344</v>
      </c>
      <c r="I178" s="26">
        <f>IFERROR(__xludf.DUMMYFUNCTION("""COMPUTED_VALUE"""),278.9)</f>
        <v>278.9</v>
      </c>
      <c r="J178" s="28">
        <f>IFERROR(__xludf.DUMMYFUNCTION("""COMPUTED_VALUE"""),-0.007888131946934345)</f>
        <v>-0.007888131947</v>
      </c>
      <c r="K178" s="26" t="s">
        <v>265</v>
      </c>
      <c r="L178" s="26" t="s">
        <v>446</v>
      </c>
      <c r="M178" s="29" t="str">
        <f t="array" ref="M178">IF(F178&gt;30%,"YES","NO")</f>
        <v>NO</v>
      </c>
      <c r="N178" s="29" t="str">
        <f t="array" ref="N178">IF(H178&lt;30%,"YES","NO")</f>
        <v>YES</v>
      </c>
      <c r="O178" s="29" t="str">
        <f t="array" ref="O178"> if(AND(D178&lt;65,M178="NO",N178="NO"),"GOOD STOCK","")</f>
        <v/>
      </c>
      <c r="P178" s="29" t="str">
        <f t="array" ref="P178"> ifs((B178/$B$2)*100&gt;=60,"Large cap stocks",and((B178/$B$2)*100&lt;60,(B178/$B$2)*100&gt;40),"Medium cap stocks",(B178/$B$2)*100&lt;40,"Small cap stocks")</f>
        <v>Small cap stocks</v>
      </c>
    </row>
    <row r="179">
      <c r="A179" s="26" t="str">
        <f>IFERROR(__xludf.DUMMYFUNCTION("""COMPUTED_VALUE"""),"Thyrocare")</f>
        <v>Thyrocare</v>
      </c>
      <c r="B179" s="27">
        <f>IFERROR(__xludf.DUMMYFUNCTION("""COMPUTED_VALUE"""),3024.4291291)</f>
        <v>3024.429129</v>
      </c>
      <c r="C179" s="26">
        <f>IFERROR(__xludf.DUMMYFUNCTION("""COMPUTED_VALUE"""),571.8)</f>
        <v>571.8</v>
      </c>
      <c r="D179" s="26">
        <f>IFERROR(__xludf.DUMMYFUNCTION("""COMPUTED_VALUE"""),35.81)</f>
        <v>35.81</v>
      </c>
      <c r="E179" s="26">
        <f>IFERROR(__xludf.DUMMYFUNCTION("""COMPUTED_VALUE"""),1087.0)</f>
        <v>1087</v>
      </c>
      <c r="F179" s="28">
        <f>IFERROR(__xludf.DUMMYFUNCTION("""COMPUTED_VALUE"""),0.4739650413983441)</f>
        <v>0.4739650414</v>
      </c>
      <c r="G179" s="26">
        <f>IFERROR(__xludf.DUMMYFUNCTION("""COMPUTED_VALUE"""),562.1)</f>
        <v>562.1</v>
      </c>
      <c r="H179" s="28">
        <f>IFERROR(__xludf.DUMMYFUNCTION("""COMPUTED_VALUE"""),0.01725671588685275)</f>
        <v>0.01725671589</v>
      </c>
      <c r="I179" s="26">
        <f>IFERROR(__xludf.DUMMYFUNCTION("""COMPUTED_VALUE"""),574.7)</f>
        <v>574.7</v>
      </c>
      <c r="J179" s="28">
        <f>IFERROR(__xludf.DUMMYFUNCTION("""COMPUTED_VALUE"""),-0.005046111014442476)</f>
        <v>-0.005046111014</v>
      </c>
      <c r="K179" s="26" t="s">
        <v>369</v>
      </c>
      <c r="L179" s="26" t="s">
        <v>447</v>
      </c>
      <c r="M179" s="29" t="str">
        <f t="array" ref="M179">IF(F179&gt;30%,"YES","NO")</f>
        <v>YES</v>
      </c>
      <c r="N179" s="29" t="str">
        <f t="array" ref="N179">IF(H179&lt;30%,"YES","NO")</f>
        <v>YES</v>
      </c>
      <c r="O179" s="29" t="str">
        <f t="array" ref="O179"> if(AND(D179&lt;65,M179="NO",N179="NO"),"GOOD STOCK","")</f>
        <v/>
      </c>
      <c r="P179" s="29" t="str">
        <f t="array" ref="P179"> ifs((B179/$B$2)*100&gt;=60,"Large cap stocks",and((B179/$B$2)*100&lt;60,(B179/$B$2)*100&gt;40),"Medium cap stocks",(B179/$B$2)*100&lt;40,"Small cap stocks")</f>
        <v>Small cap stocks</v>
      </c>
    </row>
    <row r="180">
      <c r="A180" s="26" t="str">
        <f>IFERROR(__xludf.DUMMYFUNCTION("""COMPUTED_VALUE"""),"Newgen")</f>
        <v>Newgen</v>
      </c>
      <c r="B180" s="27">
        <f>IFERROR(__xludf.DUMMYFUNCTION("""COMPUTED_VALUE"""),2664.205)</f>
        <v>2664.205</v>
      </c>
      <c r="C180" s="26">
        <f>IFERROR(__xludf.DUMMYFUNCTION("""COMPUTED_VALUE"""),382.15)</f>
        <v>382.15</v>
      </c>
      <c r="D180" s="26">
        <f>IFERROR(__xludf.DUMMYFUNCTION("""COMPUTED_VALUE"""),17.49)</f>
        <v>17.49</v>
      </c>
      <c r="E180" s="26">
        <f>IFERROR(__xludf.DUMMYFUNCTION("""COMPUTED_VALUE"""),671.0)</f>
        <v>671</v>
      </c>
      <c r="F180" s="28">
        <f>IFERROR(__xludf.DUMMYFUNCTION("""COMPUTED_VALUE"""),0.43047690014903134)</f>
        <v>0.4304769001</v>
      </c>
      <c r="G180" s="26">
        <f>IFERROR(__xludf.DUMMYFUNCTION("""COMPUTED_VALUE"""),320.85)</f>
        <v>320.85</v>
      </c>
      <c r="H180" s="28">
        <f>IFERROR(__xludf.DUMMYFUNCTION("""COMPUTED_VALUE"""),0.19105501012934378)</f>
        <v>0.1910550101</v>
      </c>
      <c r="I180" s="26">
        <f>IFERROR(__xludf.DUMMYFUNCTION("""COMPUTED_VALUE"""),362.3)</f>
        <v>362.3</v>
      </c>
      <c r="J180" s="28">
        <f>IFERROR(__xludf.DUMMYFUNCTION("""COMPUTED_VALUE"""),0.05478884902014895)</f>
        <v>0.05478884902</v>
      </c>
      <c r="K180" s="26" t="s">
        <v>233</v>
      </c>
      <c r="L180" s="26" t="s">
        <v>448</v>
      </c>
      <c r="M180" s="29" t="str">
        <f t="array" ref="M180">IF(F180&gt;30%,"YES","NO")</f>
        <v>YES</v>
      </c>
      <c r="N180" s="29" t="str">
        <f t="array" ref="N180">IF(H180&lt;30%,"YES","NO")</f>
        <v>YES</v>
      </c>
      <c r="O180" s="29" t="str">
        <f t="array" ref="O180"> if(AND(D180&lt;65,M180="NO",N180="NO"),"GOOD STOCK","")</f>
        <v/>
      </c>
      <c r="P180" s="29" t="str">
        <f t="array" ref="P180"> ifs((B180/$B$2)*100&gt;=60,"Large cap stocks",and((B180/$B$2)*100&lt;60,(B180/$B$2)*100&gt;40),"Medium cap stocks",(B180/$B$2)*100&lt;40,"Small cap stocks")</f>
        <v>Small cap stocks</v>
      </c>
    </row>
    <row r="181">
      <c r="A181" s="26" t="str">
        <f>IFERROR(__xludf.DUMMYFUNCTION("""COMPUTED_VALUE"""),"Wipro")</f>
        <v>Wipro</v>
      </c>
      <c r="B181" s="27">
        <f>IFERROR(__xludf.DUMMYFUNCTION("""COMPUTED_VALUE"""),2618.5195811)</f>
        <v>2618.519581</v>
      </c>
      <c r="C181" s="26">
        <f>IFERROR(__xludf.DUMMYFUNCTION("""COMPUTED_VALUE"""),393.65)</f>
        <v>393.65</v>
      </c>
      <c r="D181" s="26">
        <f>IFERROR(__xludf.DUMMYFUNCTION("""COMPUTED_VALUE"""),19.15)</f>
        <v>19.15</v>
      </c>
      <c r="E181" s="26">
        <f>IFERROR(__xludf.DUMMYFUNCTION("""COMPUTED_VALUE"""),666.0)</f>
        <v>666</v>
      </c>
      <c r="F181" s="28">
        <f>IFERROR(__xludf.DUMMYFUNCTION("""COMPUTED_VALUE"""),0.40893393393393396)</f>
        <v>0.4089339339</v>
      </c>
      <c r="G181" s="26">
        <f>IFERROR(__xludf.DUMMYFUNCTION("""COMPUTED_VALUE"""),372.4)</f>
        <v>372.4</v>
      </c>
      <c r="H181" s="28">
        <f>IFERROR(__xludf.DUMMYFUNCTION("""COMPUTED_VALUE"""),0.057062298603651994)</f>
        <v>0.0570622986</v>
      </c>
      <c r="I181" s="26">
        <f>IFERROR(__xludf.DUMMYFUNCTION("""COMPUTED_VALUE"""),394.45)</f>
        <v>394.45</v>
      </c>
      <c r="J181" s="28">
        <f>IFERROR(__xludf.DUMMYFUNCTION("""COMPUTED_VALUE"""),-0.002028140448726103)</f>
        <v>-0.002028140449</v>
      </c>
      <c r="K181" s="26" t="s">
        <v>233</v>
      </c>
      <c r="L181" s="26" t="s">
        <v>449</v>
      </c>
      <c r="M181" s="29" t="str">
        <f t="array" ref="M181">IF(F181&gt;30%,"YES","NO")</f>
        <v>YES</v>
      </c>
      <c r="N181" s="29" t="str">
        <f t="array" ref="N181">IF(H181&lt;30%,"YES","NO")</f>
        <v>YES</v>
      </c>
      <c r="O181" s="29" t="str">
        <f t="array" ref="O181"> if(AND(D181&lt;65,M181="NO",N181="NO"),"GOOD STOCK","")</f>
        <v/>
      </c>
      <c r="P181" s="29" t="str">
        <f t="array" ref="P181"> ifs((B181/$B$2)*100&gt;=60,"Large cap stocks",and((B181/$B$2)*100&lt;60,(B181/$B$2)*100&gt;40),"Medium cap stocks",(B181/$B$2)*100&lt;40,"Small cap stocks")</f>
        <v>Small cap stocks</v>
      </c>
    </row>
    <row r="182">
      <c r="A182" s="26" t="str">
        <f>IFERROR(__xludf.DUMMYFUNCTION("""COMPUTED_VALUE"""),"Gokaldas Export")</f>
        <v>Gokaldas Export</v>
      </c>
      <c r="B182" s="27">
        <f>IFERROR(__xludf.DUMMYFUNCTION("""COMPUTED_VALUE"""),2340.128)</f>
        <v>2340.128</v>
      </c>
      <c r="C182" s="26">
        <f>IFERROR(__xludf.DUMMYFUNCTION("""COMPUTED_VALUE"""),386.0)</f>
        <v>386</v>
      </c>
      <c r="D182" s="26">
        <f>IFERROR(__xludf.DUMMYFUNCTION("""COMPUTED_VALUE"""),13.46)</f>
        <v>13.46</v>
      </c>
      <c r="E182" s="26">
        <f>IFERROR(__xludf.DUMMYFUNCTION("""COMPUTED_VALUE"""),519.55)</f>
        <v>519.55</v>
      </c>
      <c r="F182" s="28">
        <f>IFERROR(__xludf.DUMMYFUNCTION("""COMPUTED_VALUE"""),0.2570493696468097)</f>
        <v>0.2570493696</v>
      </c>
      <c r="G182" s="26">
        <f>IFERROR(__xludf.DUMMYFUNCTION("""COMPUTED_VALUE"""),301.1)</f>
        <v>301.1</v>
      </c>
      <c r="H182" s="28">
        <f>IFERROR(__xludf.DUMMYFUNCTION("""COMPUTED_VALUE"""),0.2819661242112254)</f>
        <v>0.2819661242</v>
      </c>
      <c r="I182" s="26">
        <f>IFERROR(__xludf.DUMMYFUNCTION("""COMPUTED_VALUE"""),381.5)</f>
        <v>381.5</v>
      </c>
      <c r="J182" s="28">
        <f>IFERROR(__xludf.DUMMYFUNCTION("""COMPUTED_VALUE"""),0.011795543905635648)</f>
        <v>0.01179554391</v>
      </c>
      <c r="K182" s="26"/>
      <c r="L182" s="26" t="s">
        <v>450</v>
      </c>
      <c r="M182" s="29" t="str">
        <f t="array" ref="M182">IF(F182&gt;30%,"YES","NO")</f>
        <v>NO</v>
      </c>
      <c r="N182" s="29" t="str">
        <f t="array" ref="N182">IF(H182&lt;30%,"YES","NO")</f>
        <v>YES</v>
      </c>
      <c r="O182" s="29" t="str">
        <f t="array" ref="O182"> if(AND(D182&lt;65,M182="NO",N182="NO"),"GOOD STOCK","")</f>
        <v/>
      </c>
      <c r="P182" s="29" t="str">
        <f t="array" ref="P182"> ifs((B182/$B$2)*100&gt;=60,"Large cap stocks",and((B182/$B$2)*100&lt;60,(B182/$B$2)*100&gt;40),"Medium cap stocks",(B182/$B$2)*100&lt;40,"Small cap stocks")</f>
        <v>Small cap stocks</v>
      </c>
    </row>
    <row r="183">
      <c r="A183" s="26" t="str">
        <f>IFERROR(__xludf.DUMMYFUNCTION("""COMPUTED_VALUE"""),"Paras Defense")</f>
        <v>Paras Defense</v>
      </c>
      <c r="B183" s="27">
        <f>IFERROR(__xludf.DUMMYFUNCTION("""COMPUTED_VALUE"""),2250.9146116)</f>
        <v>2250.914612</v>
      </c>
      <c r="C183" s="26">
        <f>IFERROR(__xludf.DUMMYFUNCTION("""COMPUTED_VALUE"""),577.8)</f>
        <v>577.8</v>
      </c>
      <c r="D183" s="26">
        <f>IFERROR(__xludf.DUMMYFUNCTION("""COMPUTED_VALUE"""),67.14)</f>
        <v>67.14</v>
      </c>
      <c r="E183" s="26">
        <f>IFERROR(__xludf.DUMMYFUNCTION("""COMPUTED_VALUE"""),811.35)</f>
        <v>811.35</v>
      </c>
      <c r="F183" s="28">
        <f>IFERROR(__xludf.DUMMYFUNCTION("""COMPUTED_VALUE"""),0.28785357737104833)</f>
        <v>0.2878535774</v>
      </c>
      <c r="G183" s="26">
        <f>IFERROR(__xludf.DUMMYFUNCTION("""COMPUTED_VALUE"""),524.3)</f>
        <v>524.3</v>
      </c>
      <c r="H183" s="28">
        <f>IFERROR(__xludf.DUMMYFUNCTION("""COMPUTED_VALUE"""),0.10204081632653061)</f>
        <v>0.1020408163</v>
      </c>
      <c r="I183" s="26">
        <f>IFERROR(__xludf.DUMMYFUNCTION("""COMPUTED_VALUE"""),583.75)</f>
        <v>583.75</v>
      </c>
      <c r="J183" s="28">
        <f>IFERROR(__xludf.DUMMYFUNCTION("""COMPUTED_VALUE"""),-0.010192719486081449)</f>
        <v>-0.01019271949</v>
      </c>
      <c r="K183" s="26" t="s">
        <v>315</v>
      </c>
      <c r="L183" s="26" t="s">
        <v>451</v>
      </c>
      <c r="M183" s="29" t="str">
        <f t="array" ref="M183">IF(F183&gt;30%,"YES","NO")</f>
        <v>NO</v>
      </c>
      <c r="N183" s="29" t="str">
        <f t="array" ref="N183">IF(H183&lt;30%,"YES","NO")</f>
        <v>YES</v>
      </c>
      <c r="O183" s="29" t="str">
        <f t="array" ref="O183"> if(AND(D183&lt;65,M183="NO",N183="NO"),"GOOD STOCK","")</f>
        <v/>
      </c>
      <c r="P183" s="29" t="str">
        <f t="array" ref="P183"> ifs((B183/$B$2)*100&gt;=60,"Large cap stocks",and((B183/$B$2)*100&lt;60,(B183/$B$2)*100&gt;40),"Medium cap stocks",(B183/$B$2)*100&lt;40,"Small cap stocks")</f>
        <v>Small cap stocks</v>
      </c>
    </row>
    <row r="184">
      <c r="A184" s="26" t="str">
        <f>IFERROR(__xludf.DUMMYFUNCTION("""COMPUTED_VALUE"""),"Apollo pipes")</f>
        <v>Apollo pipes</v>
      </c>
      <c r="B184" s="27">
        <f>IFERROR(__xludf.DUMMYFUNCTION("""COMPUTED_VALUE"""),1991.1000155)</f>
        <v>1991.100016</v>
      </c>
      <c r="C184" s="26">
        <f>IFERROR(__xludf.DUMMYFUNCTION("""COMPUTED_VALUE"""),510.0)</f>
        <v>510</v>
      </c>
      <c r="D184" s="26">
        <f>IFERROR(__xludf.DUMMYFUNCTION("""COMPUTED_VALUE"""),64.75)</f>
        <v>64.75</v>
      </c>
      <c r="E184" s="26">
        <f>IFERROR(__xludf.DUMMYFUNCTION("""COMPUTED_VALUE"""),635.7)</f>
        <v>635.7</v>
      </c>
      <c r="F184" s="28">
        <f>IFERROR(__xludf.DUMMYFUNCTION("""COMPUTED_VALUE"""),0.1977347805568665)</f>
        <v>0.1977347806</v>
      </c>
      <c r="G184" s="26">
        <f>IFERROR(__xludf.DUMMYFUNCTION("""COMPUTED_VALUE"""),395.0)</f>
        <v>395</v>
      </c>
      <c r="H184" s="28">
        <f>IFERROR(__xludf.DUMMYFUNCTION("""COMPUTED_VALUE"""),0.2911392405063291)</f>
        <v>0.2911392405</v>
      </c>
      <c r="I184" s="26">
        <f>IFERROR(__xludf.DUMMYFUNCTION("""COMPUTED_VALUE"""),514.85)</f>
        <v>514.85</v>
      </c>
      <c r="J184" s="28">
        <f>IFERROR(__xludf.DUMMYFUNCTION("""COMPUTED_VALUE"""),-0.009420219481402394)</f>
        <v>-0.009420219481</v>
      </c>
      <c r="K184" s="26" t="s">
        <v>312</v>
      </c>
      <c r="L184" s="26" t="s">
        <v>452</v>
      </c>
      <c r="M184" s="29" t="str">
        <f t="array" ref="M184">IF(F184&gt;30%,"YES","NO")</f>
        <v>NO</v>
      </c>
      <c r="N184" s="29" t="str">
        <f t="array" ref="N184">IF(H184&lt;30%,"YES","NO")</f>
        <v>YES</v>
      </c>
      <c r="O184" s="29" t="str">
        <f t="array" ref="O184"> if(AND(D184&lt;65,M184="NO",N184="NO"),"GOOD STOCK","")</f>
        <v/>
      </c>
      <c r="P184" s="29" t="str">
        <f t="array" ref="P184"> ifs((B184/$B$2)*100&gt;=60,"Large cap stocks",and((B184/$B$2)*100&lt;60,(B184/$B$2)*100&gt;40),"Medium cap stocks",(B184/$B$2)*100&lt;40,"Small cap stocks")</f>
        <v>Small cap stocks</v>
      </c>
    </row>
    <row r="185">
      <c r="A185" s="26" t="str">
        <f>IFERROR(__xludf.DUMMYFUNCTION("""COMPUTED_VALUE"""),"Bhansali Engineering")</f>
        <v>Bhansali Engineering</v>
      </c>
      <c r="B185" s="27">
        <f>IFERROR(__xludf.DUMMYFUNCTION("""COMPUTED_VALUE"""),1954.368)</f>
        <v>1954.368</v>
      </c>
      <c r="C185" s="26">
        <f>IFERROR(__xludf.DUMMYFUNCTION("""COMPUTED_VALUE"""),118.6)</f>
        <v>118.6</v>
      </c>
      <c r="D185" s="26">
        <f>IFERROR(__xludf.DUMMYFUNCTION("""COMPUTED_VALUE"""),8.27)</f>
        <v>8.27</v>
      </c>
      <c r="E185" s="26">
        <f>IFERROR(__xludf.DUMMYFUNCTION("""COMPUTED_VALUE"""),182.4)</f>
        <v>182.4</v>
      </c>
      <c r="F185" s="28">
        <f>IFERROR(__xludf.DUMMYFUNCTION("""COMPUTED_VALUE"""),0.349780701754386)</f>
        <v>0.3497807018</v>
      </c>
      <c r="G185" s="26">
        <f>IFERROR(__xludf.DUMMYFUNCTION("""COMPUTED_VALUE"""),98.0)</f>
        <v>98</v>
      </c>
      <c r="H185" s="28">
        <f>IFERROR(__xludf.DUMMYFUNCTION("""COMPUTED_VALUE"""),0.210204081632653)</f>
        <v>0.2102040816</v>
      </c>
      <c r="I185" s="26">
        <f>IFERROR(__xludf.DUMMYFUNCTION("""COMPUTED_VALUE"""),120.25)</f>
        <v>120.25</v>
      </c>
      <c r="J185" s="28">
        <f>IFERROR(__xludf.DUMMYFUNCTION("""COMPUTED_VALUE"""),-0.013721413721413769)</f>
        <v>-0.01372141372</v>
      </c>
      <c r="K185" s="26"/>
      <c r="L185" s="26" t="s">
        <v>453</v>
      </c>
      <c r="M185" s="29" t="str">
        <f t="array" ref="M185">IF(F185&gt;30%,"YES","NO")</f>
        <v>YES</v>
      </c>
      <c r="N185" s="29" t="str">
        <f t="array" ref="N185">IF(H185&lt;30%,"YES","NO")</f>
        <v>YES</v>
      </c>
      <c r="O185" s="29" t="str">
        <f t="array" ref="O185"> if(AND(D185&lt;65,M185="NO",N185="NO"),"GOOD STOCK","")</f>
        <v/>
      </c>
      <c r="P185" s="29" t="str">
        <f t="array" ref="P185"> ifs((B185/$B$2)*100&gt;=60,"Large cap stocks",and((B185/$B$2)*100&lt;60,(B185/$B$2)*100&gt;40),"Medium cap stocks",(B185/$B$2)*100&lt;40,"Small cap stocks")</f>
        <v>Small cap stocks</v>
      </c>
    </row>
    <row r="186">
      <c r="A186" s="26" t="str">
        <f>IFERROR(__xludf.DUMMYFUNCTION("""COMPUTED_VALUE"""),"Heranba")</f>
        <v>Heranba</v>
      </c>
      <c r="B186" s="27">
        <f>IFERROR(__xludf.DUMMYFUNCTION("""COMPUTED_VALUE"""),1923.4465903)</f>
        <v>1923.44659</v>
      </c>
      <c r="C186" s="26">
        <f>IFERROR(__xludf.DUMMYFUNCTION("""COMPUTED_VALUE"""),481.35)</f>
        <v>481.35</v>
      </c>
      <c r="D186" s="26">
        <f>IFERROR(__xludf.DUMMYFUNCTION("""COMPUTED_VALUE"""),10.9)</f>
        <v>10.9</v>
      </c>
      <c r="E186" s="26">
        <f>IFERROR(__xludf.DUMMYFUNCTION("""COMPUTED_VALUE"""),744.15)</f>
        <v>744.15</v>
      </c>
      <c r="F186" s="28">
        <f>IFERROR(__xludf.DUMMYFUNCTION("""COMPUTED_VALUE"""),0.3531546059262245)</f>
        <v>0.3531546059</v>
      </c>
      <c r="G186" s="26">
        <f>IFERROR(__xludf.DUMMYFUNCTION("""COMPUTED_VALUE"""),477.8)</f>
        <v>477.8</v>
      </c>
      <c r="H186" s="28">
        <f>IFERROR(__xludf.DUMMYFUNCTION("""COMPUTED_VALUE"""),0.007429886982000861)</f>
        <v>0.007429886982</v>
      </c>
      <c r="I186" s="26">
        <f>IFERROR(__xludf.DUMMYFUNCTION("""COMPUTED_VALUE"""),481.85)</f>
        <v>481.85</v>
      </c>
      <c r="J186" s="28">
        <f>IFERROR(__xludf.DUMMYFUNCTION("""COMPUTED_VALUE"""),-0.0010376673238559717)</f>
        <v>-0.001037667324</v>
      </c>
      <c r="K186" s="26" t="s">
        <v>292</v>
      </c>
      <c r="L186" s="26" t="s">
        <v>454</v>
      </c>
      <c r="M186" s="29" t="str">
        <f t="array" ref="M186">IF(F186&gt;30%,"YES","NO")</f>
        <v>YES</v>
      </c>
      <c r="N186" s="29" t="str">
        <f t="array" ref="N186">IF(H186&lt;30%,"YES","NO")</f>
        <v>YES</v>
      </c>
      <c r="O186" s="29" t="str">
        <f t="array" ref="O186"> if(AND(D186&lt;65,M186="NO",N186="NO"),"GOOD STOCK","")</f>
        <v/>
      </c>
      <c r="P186" s="29" t="str">
        <f t="array" ref="P186"> ifs((B186/$B$2)*100&gt;=60,"Large cap stocks",and((B186/$B$2)*100&lt;60,(B186/$B$2)*100&gt;40),"Medium cap stocks",(B186/$B$2)*100&lt;40,"Small cap stocks")</f>
        <v>Small cap stocks</v>
      </c>
    </row>
    <row r="187">
      <c r="A187" s="26" t="str">
        <f>IFERROR(__xludf.DUMMYFUNCTION("""COMPUTED_VALUE"""),"Goldiam International")</f>
        <v>Goldiam International</v>
      </c>
      <c r="B187" s="27">
        <f>IFERROR(__xludf.DUMMYFUNCTION("""COMPUTED_VALUE"""),1794.8020805)</f>
        <v>1794.802081</v>
      </c>
      <c r="C187" s="26">
        <f>IFERROR(__xludf.DUMMYFUNCTION("""COMPUTED_VALUE"""),165.55)</f>
        <v>165.55</v>
      </c>
      <c r="D187" s="26">
        <f>IFERROR(__xludf.DUMMYFUNCTION("""COMPUTED_VALUE"""),17.83)</f>
        <v>17.83</v>
      </c>
      <c r="E187" s="26">
        <f>IFERROR(__xludf.DUMMYFUNCTION("""COMPUTED_VALUE"""),209.41)</f>
        <v>209.41</v>
      </c>
      <c r="F187" s="28">
        <f>IFERROR(__xludf.DUMMYFUNCTION("""COMPUTED_VALUE"""),0.2094455852156057)</f>
        <v>0.2094455852</v>
      </c>
      <c r="G187" s="26">
        <f>IFERROR(__xludf.DUMMYFUNCTION("""COMPUTED_VALUE"""),116.75)</f>
        <v>116.75</v>
      </c>
      <c r="H187" s="28">
        <f>IFERROR(__xludf.DUMMYFUNCTION("""COMPUTED_VALUE"""),0.41798715203426134)</f>
        <v>0.417987152</v>
      </c>
      <c r="I187" s="26">
        <f>IFERROR(__xludf.DUMMYFUNCTION("""COMPUTED_VALUE"""),165.4)</f>
        <v>165.4</v>
      </c>
      <c r="J187" s="28">
        <f>IFERROR(__xludf.DUMMYFUNCTION("""COMPUTED_VALUE"""),9.068923821040247E-4)</f>
        <v>0.0009068923821</v>
      </c>
      <c r="K187" s="26" t="s">
        <v>257</v>
      </c>
      <c r="L187" s="26" t="s">
        <v>455</v>
      </c>
      <c r="M187" s="29" t="str">
        <f t="array" ref="M187">IF(F187&gt;30%,"YES","NO")</f>
        <v>NO</v>
      </c>
      <c r="N187" s="29" t="str">
        <f t="array" ref="N187">IF(H187&lt;30%,"YES","NO")</f>
        <v>NO</v>
      </c>
      <c r="O187" s="29" t="str">
        <f t="array" ref="O187"> if(AND(D187&lt;65,M187="NO",N187="NO"),"GOOD STOCK","")</f>
        <v>GOOD STOCK</v>
      </c>
      <c r="P187" s="29" t="str">
        <f t="array" ref="P187"> ifs((B187/$B$2)*100&gt;=60,"Large cap stocks",and((B187/$B$2)*100&lt;60,(B187/$B$2)*100&gt;40),"Medium cap stocks",(B187/$B$2)*100&lt;40,"Small cap stocks")</f>
        <v>Small cap stocks</v>
      </c>
    </row>
    <row r="188">
      <c r="A188" s="26" t="str">
        <f>IFERROR(__xludf.DUMMYFUNCTION("""COMPUTED_VALUE"""),"stove kraft")</f>
        <v>stove kraft</v>
      </c>
      <c r="B188" s="27">
        <f>IFERROR(__xludf.DUMMYFUNCTION("""COMPUTED_VALUE"""),1639.276373)</f>
        <v>1639.276373</v>
      </c>
      <c r="C188" s="26">
        <f>IFERROR(__xludf.DUMMYFUNCTION("""COMPUTED_VALUE"""),498.5)</f>
        <v>498.5</v>
      </c>
      <c r="D188" s="26">
        <f>IFERROR(__xludf.DUMMYFUNCTION("""COMPUTED_VALUE"""),30.76)</f>
        <v>30.76</v>
      </c>
      <c r="E188" s="26">
        <f>IFERROR(__xludf.DUMMYFUNCTION("""COMPUTED_VALUE"""),1000.0)</f>
        <v>1000</v>
      </c>
      <c r="F188" s="28">
        <f>IFERROR(__xludf.DUMMYFUNCTION("""COMPUTED_VALUE"""),0.5015)</f>
        <v>0.5015</v>
      </c>
      <c r="G188" s="26">
        <f>IFERROR(__xludf.DUMMYFUNCTION("""COMPUTED_VALUE"""),472.2)</f>
        <v>472.2</v>
      </c>
      <c r="H188" s="28">
        <f>IFERROR(__xludf.DUMMYFUNCTION("""COMPUTED_VALUE"""),0.05569673867005508)</f>
        <v>0.05569673867</v>
      </c>
      <c r="I188" s="26">
        <f>IFERROR(__xludf.DUMMYFUNCTION("""COMPUTED_VALUE"""),503.15)</f>
        <v>503.15</v>
      </c>
      <c r="J188" s="28">
        <f>IFERROR(__xludf.DUMMYFUNCTION("""COMPUTED_VALUE"""),-0.00924177680612139)</f>
        <v>-0.009241776806</v>
      </c>
      <c r="K188" s="26" t="s">
        <v>456</v>
      </c>
      <c r="L188" s="26" t="s">
        <v>457</v>
      </c>
      <c r="M188" s="29" t="str">
        <f t="array" ref="M188">IF(F188&gt;30%,"YES","NO")</f>
        <v>YES</v>
      </c>
      <c r="N188" s="29" t="str">
        <f t="array" ref="N188">IF(H188&lt;30%,"YES","NO")</f>
        <v>YES</v>
      </c>
      <c r="O188" s="29" t="str">
        <f t="array" ref="O188"> if(AND(D188&lt;65,M188="NO",N188="NO"),"GOOD STOCK","")</f>
        <v/>
      </c>
      <c r="P188" s="29" t="str">
        <f t="array" ref="P188"> ifs((B188/$B$2)*100&gt;=60,"Large cap stocks",and((B188/$B$2)*100&lt;60,(B188/$B$2)*100&gt;40),"Medium cap stocks",(B188/$B$2)*100&lt;40,"Small cap stocks")</f>
        <v>Small cap stocks</v>
      </c>
    </row>
    <row r="189">
      <c r="A189" s="26" t="str">
        <f>IFERROR(__xludf.DUMMYFUNCTION("""COMPUTED_VALUE"""),"Krisna dignostic")</f>
        <v>Krisna dignostic</v>
      </c>
      <c r="B189" s="27">
        <f>IFERROR(__xludf.DUMMYFUNCTION("""COMPUTED_VALUE"""),1347.5935652)</f>
        <v>1347.593565</v>
      </c>
      <c r="C189" s="26">
        <f>IFERROR(__xludf.DUMMYFUNCTION("""COMPUTED_VALUE"""),429.35)</f>
        <v>429.35</v>
      </c>
      <c r="D189" s="26">
        <f>IFERROR(__xludf.DUMMYFUNCTION("""COMPUTED_VALUE"""),20.29)</f>
        <v>20.29</v>
      </c>
      <c r="E189" s="26">
        <f>IFERROR(__xludf.DUMMYFUNCTION("""COMPUTED_VALUE"""),778.0)</f>
        <v>778</v>
      </c>
      <c r="F189" s="28">
        <f>IFERROR(__xludf.DUMMYFUNCTION("""COMPUTED_VALUE"""),0.4481362467866324)</f>
        <v>0.4481362468</v>
      </c>
      <c r="G189" s="26">
        <f>IFERROR(__xludf.DUMMYFUNCTION("""COMPUTED_VALUE"""),428.9)</f>
        <v>428.9</v>
      </c>
      <c r="H189" s="28">
        <f>IFERROR(__xludf.DUMMYFUNCTION("""COMPUTED_VALUE"""),0.001049195616693974)</f>
        <v>0.001049195617</v>
      </c>
      <c r="I189" s="26">
        <f>IFERROR(__xludf.DUMMYFUNCTION("""COMPUTED_VALUE"""),436.85)</f>
        <v>436.85</v>
      </c>
      <c r="J189" s="28">
        <f>IFERROR(__xludf.DUMMYFUNCTION("""COMPUTED_VALUE"""),-0.017168364427148905)</f>
        <v>-0.01716836443</v>
      </c>
      <c r="K189" s="26"/>
      <c r="L189" s="26" t="s">
        <v>458</v>
      </c>
      <c r="M189" s="29" t="str">
        <f t="array" ref="M189">IF(F189&gt;30%,"YES","NO")</f>
        <v>YES</v>
      </c>
      <c r="N189" s="29" t="str">
        <f t="array" ref="N189">IF(H189&lt;30%,"YES","NO")</f>
        <v>YES</v>
      </c>
      <c r="O189" s="29" t="str">
        <f t="array" ref="O189"> if(AND(D189&lt;65,M189="NO",N189="NO"),"GOOD STOCK","")</f>
        <v/>
      </c>
      <c r="P189" s="29" t="str">
        <f t="array" ref="P189"> ifs((B189/$B$2)*100&gt;=60,"Large cap stocks",and((B189/$B$2)*100&lt;60,(B189/$B$2)*100&gt;40),"Medium cap stocks",(B189/$B$2)*100&lt;40,"Small cap stocks")</f>
        <v>Small cap stocks</v>
      </c>
    </row>
    <row r="190">
      <c r="A190" s="26" t="str">
        <f>IFERROR(__xludf.DUMMYFUNCTION("""COMPUTED_VALUE"""),"Chemcom Speciality")</f>
        <v>Chemcom Speciality</v>
      </c>
      <c r="B190" s="27">
        <f>IFERROR(__xludf.DUMMYFUNCTION("""COMPUTED_VALUE"""),1059.9071153)</f>
        <v>1059.907115</v>
      </c>
      <c r="C190" s="26">
        <f>IFERROR(__xludf.DUMMYFUNCTION("""COMPUTED_VALUE"""),288.1)</f>
        <v>288.1</v>
      </c>
      <c r="D190" s="26">
        <f>IFERROR(__xludf.DUMMYFUNCTION("""COMPUTED_VALUE"""),15.51)</f>
        <v>15.51</v>
      </c>
      <c r="E190" s="26">
        <f>IFERROR(__xludf.DUMMYFUNCTION("""COMPUTED_VALUE"""),477.95)</f>
        <v>477.95</v>
      </c>
      <c r="F190" s="28">
        <f>IFERROR(__xludf.DUMMYFUNCTION("""COMPUTED_VALUE"""),0.3972172821424835)</f>
        <v>0.3972172821</v>
      </c>
      <c r="G190" s="26">
        <f>IFERROR(__xludf.DUMMYFUNCTION("""COMPUTED_VALUE"""),261.0)</f>
        <v>261</v>
      </c>
      <c r="H190" s="28">
        <f>IFERROR(__xludf.DUMMYFUNCTION("""COMPUTED_VALUE"""),0.10383141762452117)</f>
        <v>0.1038314176</v>
      </c>
      <c r="I190" s="26">
        <f>IFERROR(__xludf.DUMMYFUNCTION("""COMPUTED_VALUE"""),290.1)</f>
        <v>290.1</v>
      </c>
      <c r="J190" s="28">
        <f>IFERROR(__xludf.DUMMYFUNCTION("""COMPUTED_VALUE"""),-0.006894174422612891)</f>
        <v>-0.006894174423</v>
      </c>
      <c r="K190" s="26" t="s">
        <v>265</v>
      </c>
      <c r="L190" s="26" t="s">
        <v>459</v>
      </c>
      <c r="M190" s="29" t="str">
        <f t="array" ref="M190">IF(F190&gt;30%,"YES","NO")</f>
        <v>YES</v>
      </c>
      <c r="N190" s="29" t="str">
        <f t="array" ref="N190">IF(H190&lt;30%,"YES","NO")</f>
        <v>YES</v>
      </c>
      <c r="O190" s="29" t="str">
        <f t="array" ref="O190"> if(AND(D190&lt;65,M190="NO",N190="NO"),"GOOD STOCK","")</f>
        <v/>
      </c>
      <c r="P190" s="29" t="str">
        <f t="array" ref="P190"> ifs((B190/$B$2)*100&gt;=60,"Large cap stocks",and((B190/$B$2)*100&lt;60,(B190/$B$2)*100&gt;40),"Medium cap stocks",(B190/$B$2)*100&lt;40,"Small cap stocks")</f>
        <v>Small cap stocks</v>
      </c>
    </row>
    <row r="191">
      <c r="A191" s="26" t="str">
        <f>IFERROR(__xludf.DUMMYFUNCTION("""COMPUTED_VALUE"""),"Dr Reddy")</f>
        <v>Dr Reddy</v>
      </c>
      <c r="B191" s="27">
        <f>IFERROR(__xludf.DUMMYFUNCTION("""COMPUTED_VALUE"""),880.6892469)</f>
        <v>880.6892469</v>
      </c>
      <c r="C191" s="26">
        <f>IFERROR(__xludf.DUMMYFUNCTION("""COMPUTED_VALUE"""),4323.5)</f>
        <v>4323.5</v>
      </c>
      <c r="D191" s="26">
        <f>IFERROR(__xludf.DUMMYFUNCTION("""COMPUTED_VALUE"""),23.13)</f>
        <v>23.13</v>
      </c>
      <c r="E191" s="26">
        <f>IFERROR(__xludf.DUMMYFUNCTION("""COMPUTED_VALUE"""),4759.6)</f>
        <v>4759.6</v>
      </c>
      <c r="F191" s="28">
        <f>IFERROR(__xludf.DUMMYFUNCTION("""COMPUTED_VALUE"""),0.09162534666778728)</f>
        <v>0.09162534667</v>
      </c>
      <c r="G191" s="26">
        <f>IFERROR(__xludf.DUMMYFUNCTION("""COMPUTED_VALUE"""),3654.0)</f>
        <v>3654</v>
      </c>
      <c r="H191" s="28">
        <f>IFERROR(__xludf.DUMMYFUNCTION("""COMPUTED_VALUE"""),0.18322386425834702)</f>
        <v>0.1832238643</v>
      </c>
      <c r="I191" s="26">
        <f>IFERROR(__xludf.DUMMYFUNCTION("""COMPUTED_VALUE"""),4310.6)</f>
        <v>4310.6</v>
      </c>
      <c r="J191" s="28">
        <f>IFERROR(__xludf.DUMMYFUNCTION("""COMPUTED_VALUE"""),0.002992622836727981)</f>
        <v>0.002992622837</v>
      </c>
      <c r="K191" s="26" t="s">
        <v>254</v>
      </c>
      <c r="L191" s="26" t="s">
        <v>460</v>
      </c>
      <c r="M191" s="29" t="str">
        <f t="array" ref="M191">IF(F191&gt;30%,"YES","NO")</f>
        <v>NO</v>
      </c>
      <c r="N191" s="29" t="str">
        <f t="array" ref="N191">IF(H191&lt;30%,"YES","NO")</f>
        <v>YES</v>
      </c>
      <c r="O191" s="29" t="str">
        <f t="array" ref="O191"> if(AND(D191&lt;65,M191="NO",N191="NO"),"GOOD STOCK","")</f>
        <v/>
      </c>
      <c r="P191" s="29" t="str">
        <f t="array" ref="P191"> ifs((B191/$B$2)*100&gt;=60,"Large cap stocks",and((B191/$B$2)*100&lt;60,(B191/$B$2)*100&gt;40),"Medium cap stocks",(B191/$B$2)*100&lt;40,"Small cap stocks")</f>
        <v>Small cap stocks</v>
      </c>
    </row>
    <row r="192">
      <c r="K192" s="26" t="s">
        <v>461</v>
      </c>
      <c r="L192" s="26" t="s">
        <v>461</v>
      </c>
    </row>
    <row r="193">
      <c r="K193" s="26" t="s">
        <v>461</v>
      </c>
      <c r="L193" s="26" t="s">
        <v>461</v>
      </c>
    </row>
    <row r="194">
      <c r="K194" s="26" t="s">
        <v>461</v>
      </c>
      <c r="L194" s="26" t="s">
        <v>461</v>
      </c>
    </row>
    <row r="195">
      <c r="K195" s="26" t="s">
        <v>461</v>
      </c>
      <c r="L195" s="26" t="s">
        <v>461</v>
      </c>
    </row>
    <row r="196">
      <c r="K196" s="26" t="s">
        <v>461</v>
      </c>
      <c r="L196" s="26" t="s">
        <v>461</v>
      </c>
    </row>
    <row r="197">
      <c r="K197" s="26" t="s">
        <v>461</v>
      </c>
      <c r="L197" s="26" t="s">
        <v>461</v>
      </c>
    </row>
    <row r="198">
      <c r="K198" s="26" t="s">
        <v>461</v>
      </c>
      <c r="L198" s="26" t="s">
        <v>461</v>
      </c>
    </row>
    <row r="199">
      <c r="K199" s="26" t="s">
        <v>461</v>
      </c>
      <c r="L199" s="26" t="s">
        <v>461</v>
      </c>
    </row>
    <row r="200">
      <c r="K200" s="26" t="s">
        <v>461</v>
      </c>
      <c r="L200" s="26" t="s">
        <v>461</v>
      </c>
    </row>
    <row r="201">
      <c r="K201" s="26" t="s">
        <v>461</v>
      </c>
      <c r="L201" s="26" t="s">
        <v>461</v>
      </c>
    </row>
    <row r="202">
      <c r="K202" s="26" t="s">
        <v>461</v>
      </c>
      <c r="L202" s="26" t="s">
        <v>461</v>
      </c>
    </row>
    <row r="203">
      <c r="K203" s="26" t="s">
        <v>461</v>
      </c>
      <c r="L203" s="26" t="s">
        <v>461</v>
      </c>
    </row>
    <row r="204">
      <c r="K204" s="26" t="s">
        <v>461</v>
      </c>
      <c r="L204" s="26" t="s">
        <v>461</v>
      </c>
    </row>
    <row r="205">
      <c r="K205" s="26" t="s">
        <v>461</v>
      </c>
      <c r="L205" s="26" t="s">
        <v>461</v>
      </c>
    </row>
    <row r="206">
      <c r="K206" s="26" t="s">
        <v>461</v>
      </c>
      <c r="L206" s="26" t="s">
        <v>461</v>
      </c>
    </row>
    <row r="207">
      <c r="K207" s="26" t="s">
        <v>461</v>
      </c>
      <c r="L207" s="26" t="s">
        <v>461</v>
      </c>
    </row>
    <row r="208">
      <c r="K208" s="26" t="s">
        <v>461</v>
      </c>
      <c r="L208" s="26" t="s">
        <v>461</v>
      </c>
    </row>
    <row r="209">
      <c r="K209" s="26" t="s">
        <v>461</v>
      </c>
      <c r="L209" s="26" t="s">
        <v>461</v>
      </c>
    </row>
    <row r="210">
      <c r="K210" s="26" t="s">
        <v>461</v>
      </c>
      <c r="L210" s="26" t="s">
        <v>461</v>
      </c>
    </row>
    <row r="211">
      <c r="K211" s="26" t="s">
        <v>461</v>
      </c>
      <c r="L211" s="26" t="s">
        <v>461</v>
      </c>
    </row>
    <row r="212">
      <c r="K212" s="26" t="s">
        <v>461</v>
      </c>
      <c r="L212" s="26" t="s">
        <v>461</v>
      </c>
    </row>
    <row r="213">
      <c r="K213" s="26" t="s">
        <v>461</v>
      </c>
      <c r="L213" s="26" t="s">
        <v>461</v>
      </c>
    </row>
    <row r="214">
      <c r="K214" s="26" t="s">
        <v>461</v>
      </c>
      <c r="L214" s="26" t="s">
        <v>461</v>
      </c>
    </row>
    <row r="215">
      <c r="K215" s="26" t="s">
        <v>461</v>
      </c>
      <c r="L215" s="26" t="s">
        <v>461</v>
      </c>
    </row>
    <row r="216">
      <c r="K216" s="26" t="s">
        <v>461</v>
      </c>
      <c r="L216" s="26" t="s">
        <v>461</v>
      </c>
    </row>
    <row r="217">
      <c r="K217" s="26" t="s">
        <v>461</v>
      </c>
      <c r="L217" s="26" t="s">
        <v>461</v>
      </c>
    </row>
    <row r="218">
      <c r="K218" s="26" t="s">
        <v>461</v>
      </c>
      <c r="L218" s="26" t="s">
        <v>461</v>
      </c>
    </row>
    <row r="219">
      <c r="K219" s="26" t="s">
        <v>461</v>
      </c>
      <c r="L219" s="26" t="s">
        <v>461</v>
      </c>
    </row>
    <row r="220">
      <c r="K220" s="26" t="s">
        <v>461</v>
      </c>
      <c r="L220" s="26" t="s">
        <v>461</v>
      </c>
    </row>
    <row r="221">
      <c r="K221" s="26" t="s">
        <v>461</v>
      </c>
      <c r="L221" s="26" t="s">
        <v>461</v>
      </c>
    </row>
    <row r="222">
      <c r="K222" s="26" t="s">
        <v>461</v>
      </c>
      <c r="L222" s="26" t="s">
        <v>461</v>
      </c>
    </row>
    <row r="223">
      <c r="K223" s="26" t="s">
        <v>461</v>
      </c>
      <c r="L223" s="26" t="s">
        <v>461</v>
      </c>
    </row>
    <row r="224">
      <c r="K224" s="26" t="s">
        <v>461</v>
      </c>
      <c r="L224" s="26" t="s">
        <v>461</v>
      </c>
    </row>
    <row r="225">
      <c r="K225" s="26" t="s">
        <v>461</v>
      </c>
      <c r="L225" s="26" t="s">
        <v>461</v>
      </c>
    </row>
    <row r="226">
      <c r="K226" s="26" t="s">
        <v>461</v>
      </c>
      <c r="L226" s="26" t="s">
        <v>461</v>
      </c>
    </row>
    <row r="227">
      <c r="K227" s="26" t="s">
        <v>461</v>
      </c>
      <c r="L227" s="26" t="s">
        <v>461</v>
      </c>
    </row>
    <row r="228">
      <c r="K228" s="26" t="s">
        <v>461</v>
      </c>
      <c r="L228" s="26" t="s">
        <v>461</v>
      </c>
    </row>
    <row r="229">
      <c r="K229" s="26" t="s">
        <v>461</v>
      </c>
      <c r="L229" s="26" t="s">
        <v>461</v>
      </c>
    </row>
    <row r="230">
      <c r="K230" s="26" t="s">
        <v>461</v>
      </c>
      <c r="L230" s="26" t="s">
        <v>461</v>
      </c>
    </row>
    <row r="231">
      <c r="K231" s="26" t="s">
        <v>461</v>
      </c>
      <c r="L231" s="26" t="s">
        <v>461</v>
      </c>
    </row>
    <row r="232">
      <c r="K232" s="26" t="s">
        <v>461</v>
      </c>
      <c r="L232" s="26" t="s">
        <v>461</v>
      </c>
    </row>
    <row r="233">
      <c r="K233" s="26" t="s">
        <v>461</v>
      </c>
      <c r="L233" s="26" t="s">
        <v>461</v>
      </c>
    </row>
    <row r="234">
      <c r="K234" s="26" t="s">
        <v>461</v>
      </c>
      <c r="L234" s="26" t="s">
        <v>461</v>
      </c>
    </row>
    <row r="235">
      <c r="K235" s="26" t="s">
        <v>461</v>
      </c>
      <c r="L235" s="26" t="s">
        <v>461</v>
      </c>
    </row>
    <row r="236">
      <c r="K236" s="26" t="s">
        <v>461</v>
      </c>
      <c r="L236" s="26" t="s">
        <v>461</v>
      </c>
    </row>
    <row r="237">
      <c r="K237" s="26" t="s">
        <v>461</v>
      </c>
      <c r="L237" s="26" t="s">
        <v>461</v>
      </c>
    </row>
    <row r="238">
      <c r="K238" s="26" t="s">
        <v>461</v>
      </c>
      <c r="L238" s="26" t="s">
        <v>461</v>
      </c>
    </row>
    <row r="239">
      <c r="K239" s="26" t="s">
        <v>461</v>
      </c>
      <c r="L239" s="26" t="s">
        <v>461</v>
      </c>
    </row>
    <row r="240">
      <c r="K240" s="26" t="s">
        <v>461</v>
      </c>
      <c r="L240" s="26" t="s">
        <v>461</v>
      </c>
    </row>
    <row r="241">
      <c r="K241" s="26" t="s">
        <v>461</v>
      </c>
      <c r="L241" s="26" t="s">
        <v>461</v>
      </c>
    </row>
    <row r="242">
      <c r="K242" s="26" t="s">
        <v>461</v>
      </c>
      <c r="L242" s="26" t="s">
        <v>461</v>
      </c>
    </row>
    <row r="243">
      <c r="K243" s="26" t="s">
        <v>461</v>
      </c>
      <c r="L243" s="26" t="s">
        <v>461</v>
      </c>
    </row>
    <row r="244">
      <c r="K244" s="26" t="s">
        <v>461</v>
      </c>
      <c r="L244" s="26" t="s">
        <v>461</v>
      </c>
    </row>
    <row r="245">
      <c r="K245" s="26" t="s">
        <v>461</v>
      </c>
      <c r="L245" s="26" t="s">
        <v>461</v>
      </c>
    </row>
    <row r="246">
      <c r="K246" s="26" t="s">
        <v>461</v>
      </c>
      <c r="L246" s="26" t="s">
        <v>461</v>
      </c>
    </row>
    <row r="247">
      <c r="K247" s="26" t="s">
        <v>461</v>
      </c>
      <c r="L247" s="26" t="s">
        <v>461</v>
      </c>
    </row>
    <row r="248">
      <c r="K248" s="26" t="s">
        <v>461</v>
      </c>
      <c r="L248" s="26" t="s">
        <v>461</v>
      </c>
    </row>
    <row r="249">
      <c r="K249" s="26" t="s">
        <v>461</v>
      </c>
      <c r="L249" s="26" t="s">
        <v>461</v>
      </c>
    </row>
    <row r="250">
      <c r="K250" s="26" t="s">
        <v>461</v>
      </c>
      <c r="L250" s="26" t="s">
        <v>461</v>
      </c>
    </row>
    <row r="251">
      <c r="K251" s="26" t="s">
        <v>461</v>
      </c>
      <c r="L251" s="26" t="s">
        <v>461</v>
      </c>
    </row>
    <row r="252">
      <c r="K252" s="26" t="s">
        <v>461</v>
      </c>
      <c r="L252" s="26" t="s">
        <v>461</v>
      </c>
    </row>
    <row r="253">
      <c r="K253" s="26" t="s">
        <v>461</v>
      </c>
      <c r="L253" s="26" t="s">
        <v>461</v>
      </c>
    </row>
    <row r="254">
      <c r="K254" s="26" t="s">
        <v>461</v>
      </c>
      <c r="L254" s="26" t="s">
        <v>461</v>
      </c>
    </row>
    <row r="255">
      <c r="K255" s="26" t="s">
        <v>461</v>
      </c>
      <c r="L255" s="26" t="s">
        <v>461</v>
      </c>
    </row>
    <row r="256">
      <c r="K256" s="26" t="s">
        <v>461</v>
      </c>
      <c r="L256" s="26" t="s">
        <v>461</v>
      </c>
    </row>
    <row r="257">
      <c r="K257" s="26" t="s">
        <v>461</v>
      </c>
      <c r="L257" s="26" t="s">
        <v>461</v>
      </c>
    </row>
    <row r="258">
      <c r="K258" s="26" t="s">
        <v>461</v>
      </c>
      <c r="L258" s="26" t="s">
        <v>461</v>
      </c>
    </row>
    <row r="259">
      <c r="K259" s="26" t="s">
        <v>461</v>
      </c>
      <c r="L259" s="26" t="s">
        <v>461</v>
      </c>
    </row>
    <row r="260">
      <c r="K260" s="26" t="s">
        <v>461</v>
      </c>
      <c r="L260" s="26" t="s">
        <v>461</v>
      </c>
    </row>
    <row r="261">
      <c r="K261" s="26" t="s">
        <v>461</v>
      </c>
      <c r="L261" s="26" t="s">
        <v>461</v>
      </c>
    </row>
    <row r="262">
      <c r="K262" s="26" t="s">
        <v>461</v>
      </c>
      <c r="L262" s="26" t="s">
        <v>461</v>
      </c>
    </row>
    <row r="263">
      <c r="K263" s="26" t="s">
        <v>461</v>
      </c>
      <c r="L263" s="26" t="s">
        <v>461</v>
      </c>
    </row>
    <row r="264">
      <c r="K264" s="26" t="s">
        <v>461</v>
      </c>
      <c r="L264" s="26" t="s">
        <v>461</v>
      </c>
    </row>
    <row r="265">
      <c r="K265" s="26" t="s">
        <v>461</v>
      </c>
      <c r="L265" s="26" t="s">
        <v>461</v>
      </c>
    </row>
    <row r="266">
      <c r="K266" s="26" t="s">
        <v>461</v>
      </c>
      <c r="L266" s="26" t="s">
        <v>461</v>
      </c>
    </row>
    <row r="267">
      <c r="K267" s="26" t="s">
        <v>461</v>
      </c>
      <c r="L267" s="26" t="s">
        <v>461</v>
      </c>
    </row>
    <row r="268">
      <c r="K268" s="26" t="s">
        <v>461</v>
      </c>
      <c r="L268" s="26" t="s">
        <v>461</v>
      </c>
    </row>
    <row r="269">
      <c r="K269" s="26" t="s">
        <v>461</v>
      </c>
      <c r="L269" s="26" t="s">
        <v>461</v>
      </c>
    </row>
    <row r="270">
      <c r="K270" s="26" t="s">
        <v>461</v>
      </c>
      <c r="L270" s="26" t="s">
        <v>461</v>
      </c>
    </row>
    <row r="271">
      <c r="K271" s="26" t="s">
        <v>461</v>
      </c>
      <c r="L271" s="26" t="s">
        <v>461</v>
      </c>
    </row>
    <row r="272">
      <c r="K272" s="26" t="s">
        <v>461</v>
      </c>
      <c r="L272" s="26" t="s">
        <v>461</v>
      </c>
    </row>
    <row r="273">
      <c r="K273" s="26" t="s">
        <v>461</v>
      </c>
      <c r="L273" s="26" t="s">
        <v>461</v>
      </c>
    </row>
    <row r="274">
      <c r="K274" s="26" t="s">
        <v>461</v>
      </c>
      <c r="L274" s="26" t="s">
        <v>461</v>
      </c>
    </row>
    <row r="275">
      <c r="K275" s="26" t="s">
        <v>461</v>
      </c>
      <c r="L275" s="26" t="s">
        <v>461</v>
      </c>
    </row>
    <row r="276">
      <c r="K276" s="26" t="s">
        <v>461</v>
      </c>
      <c r="L276" s="26" t="s">
        <v>461</v>
      </c>
    </row>
    <row r="277">
      <c r="K277" s="26" t="s">
        <v>461</v>
      </c>
      <c r="L277" s="26" t="s">
        <v>461</v>
      </c>
    </row>
    <row r="278">
      <c r="K278" s="26" t="s">
        <v>461</v>
      </c>
      <c r="L278" s="26" t="s">
        <v>461</v>
      </c>
    </row>
    <row r="279">
      <c r="K279" s="26" t="s">
        <v>461</v>
      </c>
      <c r="L279" s="26" t="s">
        <v>461</v>
      </c>
    </row>
    <row r="280">
      <c r="K280" s="26" t="s">
        <v>461</v>
      </c>
      <c r="L280" s="26" t="s">
        <v>461</v>
      </c>
    </row>
    <row r="281">
      <c r="K281" s="26" t="s">
        <v>461</v>
      </c>
      <c r="L281" s="26" t="s">
        <v>461</v>
      </c>
    </row>
    <row r="282">
      <c r="K282" s="26" t="s">
        <v>461</v>
      </c>
      <c r="L282" s="26" t="s">
        <v>461</v>
      </c>
    </row>
    <row r="283">
      <c r="K283" s="26" t="s">
        <v>461</v>
      </c>
      <c r="L283" s="26" t="s">
        <v>461</v>
      </c>
    </row>
    <row r="284">
      <c r="K284" s="26" t="s">
        <v>461</v>
      </c>
      <c r="L284" s="26" t="s">
        <v>461</v>
      </c>
    </row>
    <row r="285">
      <c r="K285" s="26" t="s">
        <v>461</v>
      </c>
      <c r="L285" s="26" t="s">
        <v>461</v>
      </c>
    </row>
    <row r="286">
      <c r="K286" s="26" t="s">
        <v>461</v>
      </c>
      <c r="L286" s="26" t="s">
        <v>461</v>
      </c>
    </row>
    <row r="287">
      <c r="K287" s="26" t="s">
        <v>461</v>
      </c>
      <c r="L287" s="26" t="s">
        <v>461</v>
      </c>
    </row>
    <row r="288">
      <c r="K288" s="26" t="s">
        <v>461</v>
      </c>
      <c r="L288" s="26" t="s">
        <v>461</v>
      </c>
    </row>
    <row r="289">
      <c r="K289" s="26" t="s">
        <v>461</v>
      </c>
      <c r="L289" s="26" t="s">
        <v>461</v>
      </c>
    </row>
    <row r="290">
      <c r="K290" s="26" t="s">
        <v>461</v>
      </c>
      <c r="L290" s="26" t="s">
        <v>461</v>
      </c>
    </row>
    <row r="291">
      <c r="K291" s="26" t="s">
        <v>461</v>
      </c>
      <c r="L291" s="26" t="s">
        <v>461</v>
      </c>
    </row>
    <row r="292">
      <c r="K292" s="26" t="s">
        <v>461</v>
      </c>
      <c r="L292" s="26" t="s">
        <v>461</v>
      </c>
    </row>
    <row r="293">
      <c r="K293" s="26" t="s">
        <v>461</v>
      </c>
      <c r="L293" s="26" t="s">
        <v>461</v>
      </c>
    </row>
    <row r="294">
      <c r="K294" s="26" t="s">
        <v>461</v>
      </c>
      <c r="L294" s="26" t="s">
        <v>461</v>
      </c>
    </row>
    <row r="295">
      <c r="K295" s="26" t="s">
        <v>461</v>
      </c>
      <c r="L295" s="26" t="s">
        <v>461</v>
      </c>
    </row>
    <row r="296">
      <c r="K296" s="26" t="s">
        <v>461</v>
      </c>
      <c r="L296" s="26" t="s">
        <v>461</v>
      </c>
    </row>
    <row r="297">
      <c r="K297" s="26" t="s">
        <v>461</v>
      </c>
      <c r="L297" s="26" t="s">
        <v>461</v>
      </c>
    </row>
    <row r="298">
      <c r="K298" s="26" t="s">
        <v>461</v>
      </c>
      <c r="L298" s="26" t="s">
        <v>461</v>
      </c>
    </row>
    <row r="299">
      <c r="K299" s="26" t="s">
        <v>461</v>
      </c>
      <c r="L299" s="26" t="s">
        <v>461</v>
      </c>
    </row>
    <row r="300">
      <c r="K300" s="26" t="s">
        <v>461</v>
      </c>
      <c r="L300" s="26" t="s">
        <v>461</v>
      </c>
    </row>
    <row r="301">
      <c r="K301" s="26" t="s">
        <v>461</v>
      </c>
      <c r="L301" s="26" t="s">
        <v>461</v>
      </c>
    </row>
    <row r="302">
      <c r="K302" s="26" t="s">
        <v>461</v>
      </c>
      <c r="L302" s="26" t="s">
        <v>461</v>
      </c>
    </row>
    <row r="303">
      <c r="K303" s="26" t="s">
        <v>461</v>
      </c>
      <c r="L303" s="26" t="s">
        <v>461</v>
      </c>
    </row>
    <row r="304">
      <c r="K304" s="26" t="s">
        <v>461</v>
      </c>
      <c r="L304" s="26" t="s">
        <v>461</v>
      </c>
    </row>
    <row r="305">
      <c r="K305" s="26" t="s">
        <v>461</v>
      </c>
      <c r="L305" s="26" t="s">
        <v>461</v>
      </c>
    </row>
    <row r="306">
      <c r="K306" s="26" t="s">
        <v>461</v>
      </c>
      <c r="L306" s="26" t="s">
        <v>461</v>
      </c>
    </row>
    <row r="307">
      <c r="K307" s="26" t="s">
        <v>461</v>
      </c>
      <c r="L307" s="26" t="s">
        <v>461</v>
      </c>
    </row>
    <row r="308">
      <c r="K308" s="26" t="s">
        <v>461</v>
      </c>
      <c r="L308" s="26" t="s">
        <v>461</v>
      </c>
    </row>
    <row r="309">
      <c r="K309" s="26" t="s">
        <v>461</v>
      </c>
      <c r="L309" s="26" t="s">
        <v>461</v>
      </c>
    </row>
    <row r="310">
      <c r="K310" s="26" t="s">
        <v>461</v>
      </c>
      <c r="L310" s="26" t="s">
        <v>461</v>
      </c>
    </row>
    <row r="311">
      <c r="K311" s="26" t="s">
        <v>461</v>
      </c>
      <c r="L311" s="26" t="s">
        <v>461</v>
      </c>
    </row>
    <row r="312">
      <c r="K312" s="26" t="s">
        <v>461</v>
      </c>
      <c r="L312" s="26" t="s">
        <v>461</v>
      </c>
    </row>
    <row r="313">
      <c r="K313" s="26" t="s">
        <v>461</v>
      </c>
      <c r="L313" s="26" t="s">
        <v>461</v>
      </c>
    </row>
    <row r="314">
      <c r="K314" s="26" t="s">
        <v>461</v>
      </c>
      <c r="L314" s="26" t="s">
        <v>461</v>
      </c>
    </row>
    <row r="315">
      <c r="K315" s="26" t="s">
        <v>461</v>
      </c>
      <c r="L315" s="26" t="s">
        <v>461</v>
      </c>
    </row>
    <row r="316">
      <c r="K316" s="26" t="s">
        <v>461</v>
      </c>
      <c r="L316" s="26" t="s">
        <v>461</v>
      </c>
    </row>
    <row r="317">
      <c r="K317" s="26" t="s">
        <v>461</v>
      </c>
      <c r="L317" s="26" t="s">
        <v>461</v>
      </c>
    </row>
    <row r="318">
      <c r="K318" s="26" t="s">
        <v>461</v>
      </c>
      <c r="L318" s="26" t="s">
        <v>461</v>
      </c>
    </row>
    <row r="319">
      <c r="K319" s="26" t="s">
        <v>461</v>
      </c>
      <c r="L319" s="26" t="s">
        <v>461</v>
      </c>
    </row>
    <row r="320">
      <c r="K320" s="26" t="s">
        <v>461</v>
      </c>
      <c r="L320" s="26" t="s">
        <v>461</v>
      </c>
    </row>
    <row r="321">
      <c r="K321" s="26" t="s">
        <v>461</v>
      </c>
      <c r="L321" s="26" t="s">
        <v>461</v>
      </c>
    </row>
    <row r="322">
      <c r="K322" s="26" t="s">
        <v>461</v>
      </c>
      <c r="L322" s="26" t="s">
        <v>461</v>
      </c>
    </row>
    <row r="323">
      <c r="K323" s="26" t="s">
        <v>461</v>
      </c>
      <c r="L323" s="26" t="s">
        <v>461</v>
      </c>
    </row>
    <row r="324">
      <c r="K324" s="26" t="s">
        <v>461</v>
      </c>
      <c r="L324" s="26" t="s">
        <v>461</v>
      </c>
    </row>
    <row r="325">
      <c r="K325" s="26" t="s">
        <v>461</v>
      </c>
      <c r="L325" s="26" t="s">
        <v>461</v>
      </c>
    </row>
    <row r="326">
      <c r="K326" s="26" t="s">
        <v>461</v>
      </c>
      <c r="L326" s="26" t="s">
        <v>461</v>
      </c>
    </row>
    <row r="327">
      <c r="K327" s="26" t="s">
        <v>461</v>
      </c>
      <c r="L327" s="26" t="s">
        <v>461</v>
      </c>
    </row>
    <row r="328">
      <c r="K328" s="26" t="s">
        <v>461</v>
      </c>
      <c r="L328" s="26" t="s">
        <v>461</v>
      </c>
    </row>
    <row r="329">
      <c r="K329" s="26" t="s">
        <v>461</v>
      </c>
      <c r="L329" s="26" t="s">
        <v>461</v>
      </c>
    </row>
    <row r="330">
      <c r="K330" s="26" t="s">
        <v>461</v>
      </c>
      <c r="L330" s="26" t="s">
        <v>461</v>
      </c>
    </row>
    <row r="331">
      <c r="K331" s="26" t="s">
        <v>461</v>
      </c>
      <c r="L331" s="26" t="s">
        <v>461</v>
      </c>
    </row>
    <row r="332">
      <c r="K332" s="26" t="s">
        <v>461</v>
      </c>
      <c r="L332" s="26" t="s">
        <v>461</v>
      </c>
    </row>
    <row r="333">
      <c r="K333" s="26" t="s">
        <v>461</v>
      </c>
      <c r="L333" s="26" t="s">
        <v>461</v>
      </c>
    </row>
    <row r="334">
      <c r="K334" s="26" t="s">
        <v>461</v>
      </c>
      <c r="L334" s="26" t="s">
        <v>461</v>
      </c>
    </row>
    <row r="335">
      <c r="K335" s="26" t="s">
        <v>461</v>
      </c>
      <c r="L335" s="26" t="s">
        <v>461</v>
      </c>
    </row>
    <row r="336">
      <c r="K336" s="26" t="s">
        <v>461</v>
      </c>
      <c r="L336" s="26" t="s">
        <v>461</v>
      </c>
    </row>
    <row r="337">
      <c r="K337" s="26" t="s">
        <v>461</v>
      </c>
      <c r="L337" s="26" t="s">
        <v>461</v>
      </c>
    </row>
    <row r="338">
      <c r="K338" s="26" t="s">
        <v>461</v>
      </c>
      <c r="L338" s="26" t="s">
        <v>461</v>
      </c>
    </row>
    <row r="339">
      <c r="K339" s="26" t="s">
        <v>461</v>
      </c>
      <c r="L339" s="26" t="s">
        <v>461</v>
      </c>
    </row>
    <row r="340">
      <c r="K340" s="26" t="s">
        <v>461</v>
      </c>
      <c r="L340" s="26" t="s">
        <v>461</v>
      </c>
    </row>
    <row r="341">
      <c r="K341" s="26" t="s">
        <v>461</v>
      </c>
      <c r="L341" s="26" t="s">
        <v>461</v>
      </c>
    </row>
    <row r="342">
      <c r="K342" s="26" t="s">
        <v>461</v>
      </c>
      <c r="L342" s="26" t="s">
        <v>461</v>
      </c>
    </row>
    <row r="343">
      <c r="K343" s="26" t="s">
        <v>461</v>
      </c>
      <c r="L343" s="26" t="s">
        <v>461</v>
      </c>
    </row>
    <row r="344">
      <c r="K344" s="26" t="s">
        <v>461</v>
      </c>
      <c r="L344" s="26" t="s">
        <v>461</v>
      </c>
    </row>
    <row r="345">
      <c r="K345" s="26" t="s">
        <v>461</v>
      </c>
      <c r="L345" s="26" t="s">
        <v>461</v>
      </c>
    </row>
    <row r="346">
      <c r="K346" s="26" t="s">
        <v>461</v>
      </c>
      <c r="L346" s="26" t="s">
        <v>461</v>
      </c>
    </row>
    <row r="347">
      <c r="K347" s="26" t="s">
        <v>461</v>
      </c>
      <c r="L347" s="26" t="s">
        <v>461</v>
      </c>
    </row>
    <row r="348">
      <c r="K348" s="26" t="s">
        <v>461</v>
      </c>
      <c r="L348" s="26" t="s">
        <v>461</v>
      </c>
    </row>
    <row r="349">
      <c r="K349" s="26" t="s">
        <v>461</v>
      </c>
      <c r="L349" s="26" t="s">
        <v>461</v>
      </c>
    </row>
    <row r="350">
      <c r="K350" s="26" t="s">
        <v>461</v>
      </c>
      <c r="L350" s="26" t="s">
        <v>461</v>
      </c>
    </row>
    <row r="351">
      <c r="K351" s="26" t="s">
        <v>461</v>
      </c>
      <c r="L351" s="26" t="s">
        <v>461</v>
      </c>
    </row>
    <row r="352">
      <c r="K352" s="26" t="s">
        <v>461</v>
      </c>
      <c r="L352" s="26" t="s">
        <v>461</v>
      </c>
    </row>
    <row r="353">
      <c r="K353" s="26" t="s">
        <v>461</v>
      </c>
      <c r="L353" s="26" t="s">
        <v>461</v>
      </c>
    </row>
    <row r="354">
      <c r="K354" s="26" t="s">
        <v>461</v>
      </c>
      <c r="L354" s="26" t="s">
        <v>461</v>
      </c>
    </row>
    <row r="355">
      <c r="K355" s="26" t="s">
        <v>461</v>
      </c>
      <c r="L355" s="26" t="s">
        <v>461</v>
      </c>
    </row>
    <row r="356">
      <c r="K356" s="26" t="s">
        <v>461</v>
      </c>
      <c r="L356" s="26" t="s">
        <v>461</v>
      </c>
    </row>
    <row r="357">
      <c r="K357" s="26" t="s">
        <v>461</v>
      </c>
      <c r="L357" s="26" t="s">
        <v>461</v>
      </c>
    </row>
    <row r="358">
      <c r="K358" s="26" t="s">
        <v>461</v>
      </c>
      <c r="L358" s="26" t="s">
        <v>461</v>
      </c>
    </row>
    <row r="359">
      <c r="K359" s="26" t="s">
        <v>461</v>
      </c>
      <c r="L359" s="26" t="s">
        <v>461</v>
      </c>
    </row>
    <row r="360">
      <c r="K360" s="26" t="s">
        <v>461</v>
      </c>
      <c r="L360" s="26" t="s">
        <v>461</v>
      </c>
    </row>
    <row r="361">
      <c r="K361" s="26" t="s">
        <v>461</v>
      </c>
      <c r="L361" s="26" t="s">
        <v>461</v>
      </c>
    </row>
    <row r="362">
      <c r="K362" s="26" t="s">
        <v>461</v>
      </c>
      <c r="L362" s="26" t="s">
        <v>461</v>
      </c>
    </row>
    <row r="363">
      <c r="K363" s="26" t="s">
        <v>461</v>
      </c>
      <c r="L363" s="26" t="s">
        <v>461</v>
      </c>
    </row>
    <row r="364">
      <c r="K364" s="26" t="s">
        <v>461</v>
      </c>
      <c r="L364" s="26" t="s">
        <v>461</v>
      </c>
    </row>
    <row r="365">
      <c r="K365" s="26" t="s">
        <v>461</v>
      </c>
      <c r="L365" s="26" t="s">
        <v>461</v>
      </c>
    </row>
    <row r="366">
      <c r="K366" s="26" t="s">
        <v>461</v>
      </c>
      <c r="L366" s="26" t="s">
        <v>461</v>
      </c>
    </row>
    <row r="367">
      <c r="K367" s="26" t="s">
        <v>461</v>
      </c>
      <c r="L367" s="26" t="s">
        <v>461</v>
      </c>
    </row>
    <row r="368">
      <c r="K368" s="26" t="s">
        <v>461</v>
      </c>
      <c r="L368" s="26" t="s">
        <v>461</v>
      </c>
    </row>
    <row r="369">
      <c r="K369" s="26" t="s">
        <v>461</v>
      </c>
      <c r="L369" s="26" t="s">
        <v>461</v>
      </c>
    </row>
    <row r="370">
      <c r="K370" s="26" t="s">
        <v>461</v>
      </c>
      <c r="L370" s="26" t="s">
        <v>461</v>
      </c>
    </row>
    <row r="371">
      <c r="K371" s="26" t="s">
        <v>461</v>
      </c>
      <c r="L371" s="26" t="s">
        <v>461</v>
      </c>
    </row>
    <row r="372">
      <c r="K372" s="26" t="s">
        <v>461</v>
      </c>
      <c r="L372" s="26" t="s">
        <v>461</v>
      </c>
    </row>
    <row r="373">
      <c r="K373" s="26" t="s">
        <v>461</v>
      </c>
      <c r="L373" s="26" t="s">
        <v>461</v>
      </c>
    </row>
    <row r="374">
      <c r="K374" s="26" t="s">
        <v>461</v>
      </c>
      <c r="L374" s="26" t="s">
        <v>461</v>
      </c>
    </row>
    <row r="375">
      <c r="K375" s="26" t="s">
        <v>461</v>
      </c>
      <c r="L375" s="26" t="s">
        <v>461</v>
      </c>
    </row>
    <row r="376">
      <c r="K376" s="26" t="s">
        <v>461</v>
      </c>
      <c r="L376" s="26" t="s">
        <v>461</v>
      </c>
    </row>
    <row r="377">
      <c r="K377" s="26" t="s">
        <v>461</v>
      </c>
      <c r="L377" s="26" t="s">
        <v>461</v>
      </c>
    </row>
    <row r="378">
      <c r="K378" s="26" t="s">
        <v>461</v>
      </c>
      <c r="L378" s="26" t="s">
        <v>461</v>
      </c>
    </row>
    <row r="379">
      <c r="K379" s="26" t="s">
        <v>461</v>
      </c>
      <c r="L379" s="26" t="s">
        <v>461</v>
      </c>
    </row>
    <row r="380">
      <c r="K380" s="26" t="s">
        <v>461</v>
      </c>
      <c r="L380" s="26" t="s">
        <v>461</v>
      </c>
    </row>
    <row r="381">
      <c r="K381" s="26" t="s">
        <v>461</v>
      </c>
      <c r="L381" s="26" t="s">
        <v>461</v>
      </c>
    </row>
    <row r="382">
      <c r="K382" s="26" t="s">
        <v>461</v>
      </c>
      <c r="L382" s="26" t="s">
        <v>461</v>
      </c>
    </row>
    <row r="383">
      <c r="K383" s="26" t="s">
        <v>461</v>
      </c>
      <c r="L383" s="26" t="s">
        <v>461</v>
      </c>
    </row>
    <row r="384">
      <c r="K384" s="26" t="s">
        <v>461</v>
      </c>
      <c r="L384" s="26" t="s">
        <v>461</v>
      </c>
    </row>
    <row r="385">
      <c r="K385" s="26" t="s">
        <v>461</v>
      </c>
      <c r="L385" s="26" t="s">
        <v>461</v>
      </c>
    </row>
    <row r="386">
      <c r="K386" s="26" t="s">
        <v>461</v>
      </c>
      <c r="L386" s="26" t="s">
        <v>461</v>
      </c>
    </row>
    <row r="387">
      <c r="K387" s="26" t="s">
        <v>461</v>
      </c>
      <c r="L387" s="26" t="s">
        <v>461</v>
      </c>
    </row>
    <row r="388">
      <c r="K388" s="26" t="s">
        <v>461</v>
      </c>
      <c r="L388" s="26" t="s">
        <v>461</v>
      </c>
    </row>
    <row r="389">
      <c r="K389" s="26" t="s">
        <v>461</v>
      </c>
      <c r="L389" s="26" t="s">
        <v>461</v>
      </c>
    </row>
    <row r="390">
      <c r="K390" s="26" t="s">
        <v>461</v>
      </c>
      <c r="L390" s="26" t="s">
        <v>461</v>
      </c>
    </row>
    <row r="391">
      <c r="K391" s="26" t="s">
        <v>461</v>
      </c>
      <c r="L391" s="26" t="s">
        <v>461</v>
      </c>
    </row>
    <row r="392">
      <c r="K392" s="26" t="s">
        <v>461</v>
      </c>
      <c r="L392" s="26" t="s">
        <v>461</v>
      </c>
    </row>
    <row r="393">
      <c r="K393" s="26" t="s">
        <v>461</v>
      </c>
      <c r="L393" s="26" t="s">
        <v>461</v>
      </c>
    </row>
    <row r="394">
      <c r="K394" s="26" t="s">
        <v>461</v>
      </c>
      <c r="L394" s="26" t="s">
        <v>461</v>
      </c>
    </row>
    <row r="395">
      <c r="K395" s="26" t="s">
        <v>461</v>
      </c>
      <c r="L395" s="26" t="s">
        <v>461</v>
      </c>
    </row>
    <row r="396">
      <c r="K396" s="26" t="s">
        <v>461</v>
      </c>
      <c r="L396" s="26" t="s">
        <v>461</v>
      </c>
    </row>
    <row r="397">
      <c r="K397" s="26" t="s">
        <v>461</v>
      </c>
      <c r="L397" s="26" t="s">
        <v>461</v>
      </c>
    </row>
    <row r="398">
      <c r="K398" s="26" t="s">
        <v>461</v>
      </c>
      <c r="L398" s="26" t="s">
        <v>461</v>
      </c>
    </row>
    <row r="399">
      <c r="K399" s="26" t="s">
        <v>461</v>
      </c>
      <c r="L399" s="26" t="s">
        <v>461</v>
      </c>
    </row>
    <row r="400">
      <c r="K400" s="26" t="s">
        <v>461</v>
      </c>
      <c r="L400" s="26" t="s">
        <v>461</v>
      </c>
    </row>
    <row r="401">
      <c r="K401" s="26" t="s">
        <v>461</v>
      </c>
      <c r="L401" s="26" t="s">
        <v>461</v>
      </c>
    </row>
    <row r="402">
      <c r="K402" s="26" t="s">
        <v>461</v>
      </c>
      <c r="L402" s="26" t="s">
        <v>461</v>
      </c>
    </row>
    <row r="403">
      <c r="K403" s="26" t="s">
        <v>461</v>
      </c>
      <c r="L403" s="26" t="s">
        <v>461</v>
      </c>
    </row>
    <row r="404">
      <c r="K404" s="26" t="s">
        <v>461</v>
      </c>
      <c r="L404" s="26" t="s">
        <v>461</v>
      </c>
    </row>
    <row r="405">
      <c r="K405" s="26" t="s">
        <v>461</v>
      </c>
      <c r="L405" s="26" t="s">
        <v>461</v>
      </c>
    </row>
    <row r="406">
      <c r="K406" s="26" t="s">
        <v>461</v>
      </c>
      <c r="L406" s="26" t="s">
        <v>461</v>
      </c>
    </row>
    <row r="407">
      <c r="K407" s="26" t="s">
        <v>461</v>
      </c>
      <c r="L407" s="26" t="s">
        <v>461</v>
      </c>
    </row>
    <row r="408">
      <c r="K408" s="26" t="s">
        <v>461</v>
      </c>
      <c r="L408" s="26" t="s">
        <v>461</v>
      </c>
    </row>
    <row r="409">
      <c r="K409" s="26" t="s">
        <v>461</v>
      </c>
      <c r="L409" s="26" t="s">
        <v>461</v>
      </c>
    </row>
    <row r="410">
      <c r="K410" s="26" t="s">
        <v>461</v>
      </c>
      <c r="L410" s="26" t="s">
        <v>461</v>
      </c>
    </row>
    <row r="411">
      <c r="K411" s="26" t="s">
        <v>461</v>
      </c>
      <c r="L411" s="26" t="s">
        <v>461</v>
      </c>
    </row>
    <row r="412">
      <c r="K412" s="26" t="s">
        <v>461</v>
      </c>
      <c r="L412" s="26" t="s">
        <v>461</v>
      </c>
    </row>
    <row r="413">
      <c r="K413" s="26" t="s">
        <v>461</v>
      </c>
      <c r="L413" s="26" t="s">
        <v>461</v>
      </c>
    </row>
    <row r="414">
      <c r="K414" s="26" t="s">
        <v>461</v>
      </c>
      <c r="L414" s="26" t="s">
        <v>461</v>
      </c>
    </row>
    <row r="415">
      <c r="K415" s="26" t="s">
        <v>461</v>
      </c>
      <c r="L415" s="26" t="s">
        <v>461</v>
      </c>
    </row>
    <row r="416">
      <c r="K416" s="26" t="s">
        <v>461</v>
      </c>
      <c r="L416" s="26" t="s">
        <v>461</v>
      </c>
    </row>
    <row r="417">
      <c r="K417" s="26" t="s">
        <v>461</v>
      </c>
      <c r="L417" s="26" t="s">
        <v>461</v>
      </c>
    </row>
    <row r="418">
      <c r="K418" s="26" t="s">
        <v>461</v>
      </c>
      <c r="L418" s="26" t="s">
        <v>461</v>
      </c>
    </row>
    <row r="419">
      <c r="K419" s="26" t="s">
        <v>461</v>
      </c>
      <c r="L419" s="26" t="s">
        <v>461</v>
      </c>
    </row>
    <row r="420">
      <c r="K420" s="26" t="s">
        <v>461</v>
      </c>
      <c r="L420" s="26" t="s">
        <v>461</v>
      </c>
    </row>
    <row r="421">
      <c r="K421" s="26" t="s">
        <v>461</v>
      </c>
      <c r="L421" s="26" t="s">
        <v>461</v>
      </c>
    </row>
    <row r="422">
      <c r="K422" s="26" t="s">
        <v>461</v>
      </c>
      <c r="L422" s="26" t="s">
        <v>461</v>
      </c>
    </row>
    <row r="423">
      <c r="K423" s="26" t="s">
        <v>461</v>
      </c>
      <c r="L423" s="26" t="s">
        <v>461</v>
      </c>
    </row>
    <row r="424">
      <c r="K424" s="26" t="s">
        <v>461</v>
      </c>
      <c r="L424" s="26" t="s">
        <v>461</v>
      </c>
    </row>
    <row r="425">
      <c r="K425" s="26" t="s">
        <v>461</v>
      </c>
      <c r="L425" s="26" t="s">
        <v>461</v>
      </c>
    </row>
    <row r="426">
      <c r="K426" s="26" t="s">
        <v>461</v>
      </c>
      <c r="L426" s="26" t="s">
        <v>461</v>
      </c>
    </row>
    <row r="427">
      <c r="K427" s="26" t="s">
        <v>461</v>
      </c>
      <c r="L427" s="26" t="s">
        <v>461</v>
      </c>
    </row>
    <row r="428">
      <c r="K428" s="26" t="s">
        <v>461</v>
      </c>
      <c r="L428" s="26" t="s">
        <v>461</v>
      </c>
    </row>
    <row r="429">
      <c r="K429" s="26" t="s">
        <v>461</v>
      </c>
      <c r="L429" s="26" t="s">
        <v>461</v>
      </c>
    </row>
    <row r="430">
      <c r="K430" s="26" t="s">
        <v>461</v>
      </c>
      <c r="L430" s="26" t="s">
        <v>461</v>
      </c>
    </row>
    <row r="431">
      <c r="K431" s="26" t="s">
        <v>461</v>
      </c>
      <c r="L431" s="26" t="s">
        <v>461</v>
      </c>
    </row>
    <row r="432">
      <c r="K432" s="26" t="s">
        <v>461</v>
      </c>
      <c r="L432" s="26" t="s">
        <v>461</v>
      </c>
    </row>
    <row r="433">
      <c r="K433" s="26" t="s">
        <v>461</v>
      </c>
      <c r="L433" s="26" t="s">
        <v>461</v>
      </c>
    </row>
    <row r="434">
      <c r="K434" s="26" t="s">
        <v>461</v>
      </c>
      <c r="L434" s="26" t="s">
        <v>461</v>
      </c>
    </row>
    <row r="435">
      <c r="K435" s="26" t="s">
        <v>461</v>
      </c>
      <c r="L435" s="26" t="s">
        <v>461</v>
      </c>
    </row>
    <row r="436">
      <c r="K436" s="26" t="s">
        <v>461</v>
      </c>
      <c r="L436" s="26" t="s">
        <v>461</v>
      </c>
    </row>
    <row r="437">
      <c r="K437" s="26" t="s">
        <v>461</v>
      </c>
      <c r="L437" s="26" t="s">
        <v>461</v>
      </c>
    </row>
    <row r="438">
      <c r="K438" s="26" t="s">
        <v>461</v>
      </c>
      <c r="L438" s="26" t="s">
        <v>461</v>
      </c>
    </row>
    <row r="439">
      <c r="K439" s="26" t="s">
        <v>461</v>
      </c>
      <c r="L439" s="26" t="s">
        <v>461</v>
      </c>
    </row>
    <row r="440">
      <c r="K440" s="26" t="s">
        <v>461</v>
      </c>
      <c r="L440" s="26" t="s">
        <v>461</v>
      </c>
    </row>
    <row r="441">
      <c r="K441" s="26" t="s">
        <v>461</v>
      </c>
      <c r="L441" s="26" t="s">
        <v>461</v>
      </c>
    </row>
    <row r="442">
      <c r="K442" s="26" t="s">
        <v>461</v>
      </c>
      <c r="L442" s="26" t="s">
        <v>461</v>
      </c>
    </row>
    <row r="443">
      <c r="K443" s="26" t="s">
        <v>461</v>
      </c>
      <c r="L443" s="26" t="s">
        <v>461</v>
      </c>
    </row>
    <row r="444">
      <c r="K444" s="26" t="s">
        <v>461</v>
      </c>
      <c r="L444" s="26" t="s">
        <v>461</v>
      </c>
    </row>
    <row r="445">
      <c r="K445" s="26" t="s">
        <v>461</v>
      </c>
      <c r="L445" s="26" t="s">
        <v>461</v>
      </c>
    </row>
    <row r="446">
      <c r="K446" s="26" t="s">
        <v>461</v>
      </c>
      <c r="L446" s="26" t="s">
        <v>461</v>
      </c>
    </row>
    <row r="447">
      <c r="K447" s="26" t="s">
        <v>461</v>
      </c>
      <c r="L447" s="26" t="s">
        <v>461</v>
      </c>
    </row>
    <row r="448">
      <c r="K448" s="26" t="s">
        <v>461</v>
      </c>
      <c r="L448" s="26" t="s">
        <v>461</v>
      </c>
    </row>
    <row r="449">
      <c r="K449" s="26" t="s">
        <v>461</v>
      </c>
      <c r="L449" s="26" t="s">
        <v>461</v>
      </c>
    </row>
    <row r="450">
      <c r="K450" s="26" t="s">
        <v>461</v>
      </c>
      <c r="L450" s="26" t="s">
        <v>461</v>
      </c>
    </row>
    <row r="451">
      <c r="K451" s="26" t="s">
        <v>461</v>
      </c>
      <c r="L451" s="26" t="s">
        <v>461</v>
      </c>
    </row>
    <row r="452">
      <c r="K452" s="26" t="s">
        <v>461</v>
      </c>
      <c r="L452" s="26" t="s">
        <v>461</v>
      </c>
    </row>
    <row r="453">
      <c r="K453" s="26" t="s">
        <v>461</v>
      </c>
      <c r="L453" s="26" t="s">
        <v>461</v>
      </c>
    </row>
    <row r="454">
      <c r="K454" s="26" t="s">
        <v>461</v>
      </c>
      <c r="L454" s="26" t="s">
        <v>461</v>
      </c>
    </row>
    <row r="455">
      <c r="K455" s="26" t="s">
        <v>461</v>
      </c>
      <c r="L455" s="26" t="s">
        <v>461</v>
      </c>
    </row>
    <row r="456">
      <c r="K456" s="26" t="s">
        <v>461</v>
      </c>
      <c r="L456" s="26" t="s">
        <v>461</v>
      </c>
    </row>
    <row r="457">
      <c r="K457" s="26" t="s">
        <v>461</v>
      </c>
      <c r="L457" s="26" t="s">
        <v>461</v>
      </c>
    </row>
    <row r="458">
      <c r="K458" s="26" t="s">
        <v>461</v>
      </c>
      <c r="L458" s="26" t="s">
        <v>461</v>
      </c>
    </row>
    <row r="459">
      <c r="K459" s="26" t="s">
        <v>461</v>
      </c>
      <c r="L459" s="26" t="s">
        <v>461</v>
      </c>
    </row>
    <row r="460">
      <c r="K460" s="26" t="s">
        <v>461</v>
      </c>
      <c r="L460" s="26" t="s">
        <v>461</v>
      </c>
    </row>
    <row r="461">
      <c r="K461" s="26" t="s">
        <v>461</v>
      </c>
      <c r="L461" s="26" t="s">
        <v>461</v>
      </c>
    </row>
    <row r="462">
      <c r="K462" s="26" t="s">
        <v>461</v>
      </c>
      <c r="L462" s="26" t="s">
        <v>461</v>
      </c>
    </row>
    <row r="463">
      <c r="K463" s="26" t="s">
        <v>461</v>
      </c>
      <c r="L463" s="26" t="s">
        <v>461</v>
      </c>
    </row>
    <row r="464">
      <c r="K464" s="26" t="s">
        <v>461</v>
      </c>
      <c r="L464" s="26" t="s">
        <v>461</v>
      </c>
    </row>
    <row r="465">
      <c r="K465" s="26" t="s">
        <v>461</v>
      </c>
      <c r="L465" s="26" t="s">
        <v>461</v>
      </c>
    </row>
    <row r="466">
      <c r="K466" s="26" t="s">
        <v>461</v>
      </c>
      <c r="L466" s="26" t="s">
        <v>461</v>
      </c>
    </row>
    <row r="467">
      <c r="K467" s="26" t="s">
        <v>461</v>
      </c>
      <c r="L467" s="26" t="s">
        <v>461</v>
      </c>
    </row>
    <row r="468">
      <c r="K468" s="26" t="s">
        <v>461</v>
      </c>
      <c r="L468" s="26" t="s">
        <v>461</v>
      </c>
    </row>
    <row r="469">
      <c r="K469" s="26" t="s">
        <v>461</v>
      </c>
      <c r="L469" s="26" t="s">
        <v>461</v>
      </c>
    </row>
    <row r="470">
      <c r="K470" s="26" t="s">
        <v>461</v>
      </c>
      <c r="L470" s="26" t="s">
        <v>461</v>
      </c>
    </row>
    <row r="471">
      <c r="K471" s="26" t="s">
        <v>461</v>
      </c>
      <c r="L471" s="26" t="s">
        <v>461</v>
      </c>
    </row>
    <row r="472">
      <c r="K472" s="26" t="s">
        <v>461</v>
      </c>
      <c r="L472" s="26" t="s">
        <v>461</v>
      </c>
    </row>
    <row r="473">
      <c r="K473" s="26" t="s">
        <v>461</v>
      </c>
      <c r="L473" s="26" t="s">
        <v>461</v>
      </c>
    </row>
    <row r="474">
      <c r="K474" s="26" t="s">
        <v>461</v>
      </c>
      <c r="L474" s="26" t="s">
        <v>461</v>
      </c>
    </row>
    <row r="475">
      <c r="K475" s="26" t="s">
        <v>461</v>
      </c>
      <c r="L475" s="26" t="s">
        <v>461</v>
      </c>
    </row>
    <row r="476">
      <c r="K476" s="26" t="s">
        <v>461</v>
      </c>
      <c r="L476" s="26" t="s">
        <v>461</v>
      </c>
    </row>
    <row r="477">
      <c r="K477" s="26" t="s">
        <v>461</v>
      </c>
      <c r="L477" s="26" t="s">
        <v>461</v>
      </c>
    </row>
    <row r="478">
      <c r="K478" s="26" t="s">
        <v>461</v>
      </c>
      <c r="L478" s="26" t="s">
        <v>461</v>
      </c>
    </row>
    <row r="479">
      <c r="K479" s="26" t="s">
        <v>461</v>
      </c>
      <c r="L479" s="26" t="s">
        <v>461</v>
      </c>
    </row>
    <row r="480">
      <c r="K480" s="26" t="s">
        <v>461</v>
      </c>
      <c r="L480" s="26" t="s">
        <v>461</v>
      </c>
    </row>
    <row r="481">
      <c r="K481" s="26" t="s">
        <v>461</v>
      </c>
      <c r="L481" s="26" t="s">
        <v>461</v>
      </c>
    </row>
    <row r="482">
      <c r="K482" s="26" t="s">
        <v>461</v>
      </c>
      <c r="L482" s="26" t="s">
        <v>461</v>
      </c>
    </row>
    <row r="483">
      <c r="K483" s="26" t="s">
        <v>461</v>
      </c>
      <c r="L483" s="26" t="s">
        <v>461</v>
      </c>
    </row>
    <row r="484">
      <c r="K484" s="26" t="s">
        <v>461</v>
      </c>
      <c r="L484" s="26" t="s">
        <v>461</v>
      </c>
    </row>
    <row r="485">
      <c r="K485" s="26" t="s">
        <v>461</v>
      </c>
      <c r="L485" s="26" t="s">
        <v>461</v>
      </c>
    </row>
    <row r="486">
      <c r="K486" s="26" t="s">
        <v>461</v>
      </c>
      <c r="L486" s="26" t="s">
        <v>461</v>
      </c>
    </row>
    <row r="487">
      <c r="K487" s="26" t="s">
        <v>461</v>
      </c>
      <c r="L487" s="26" t="s">
        <v>461</v>
      </c>
    </row>
    <row r="488">
      <c r="K488" s="26" t="s">
        <v>461</v>
      </c>
      <c r="L488" s="26" t="s">
        <v>461</v>
      </c>
    </row>
    <row r="489">
      <c r="K489" s="26" t="s">
        <v>461</v>
      </c>
      <c r="L489" s="26" t="s">
        <v>461</v>
      </c>
    </row>
    <row r="490">
      <c r="K490" s="26" t="s">
        <v>461</v>
      </c>
      <c r="L490" s="26" t="s">
        <v>461</v>
      </c>
    </row>
    <row r="491">
      <c r="K491" s="26" t="s">
        <v>461</v>
      </c>
      <c r="L491" s="26" t="s">
        <v>461</v>
      </c>
    </row>
    <row r="492">
      <c r="K492" s="26" t="s">
        <v>461</v>
      </c>
      <c r="L492" s="26" t="s">
        <v>461</v>
      </c>
    </row>
    <row r="493">
      <c r="K493" s="26" t="s">
        <v>461</v>
      </c>
      <c r="L493" s="26" t="s">
        <v>461</v>
      </c>
    </row>
    <row r="494">
      <c r="K494" s="26" t="s">
        <v>461</v>
      </c>
      <c r="L494" s="26" t="s">
        <v>461</v>
      </c>
    </row>
    <row r="495">
      <c r="K495" s="26" t="s">
        <v>461</v>
      </c>
      <c r="L495" s="26" t="s">
        <v>461</v>
      </c>
    </row>
    <row r="496">
      <c r="K496" s="26" t="s">
        <v>461</v>
      </c>
      <c r="L496" s="26" t="s">
        <v>461</v>
      </c>
    </row>
    <row r="497">
      <c r="K497" s="26" t="s">
        <v>461</v>
      </c>
      <c r="L497" s="26" t="s">
        <v>461</v>
      </c>
    </row>
    <row r="498">
      <c r="K498" s="26" t="s">
        <v>461</v>
      </c>
      <c r="L498" s="26" t="s">
        <v>461</v>
      </c>
    </row>
    <row r="499">
      <c r="K499" s="26" t="s">
        <v>461</v>
      </c>
      <c r="L499" s="26" t="s">
        <v>461</v>
      </c>
    </row>
    <row r="500">
      <c r="K500" s="26" t="s">
        <v>461</v>
      </c>
      <c r="L500" s="26" t="s">
        <v>461</v>
      </c>
    </row>
    <row r="501">
      <c r="K501" s="26" t="s">
        <v>461</v>
      </c>
      <c r="L501" s="26" t="s">
        <v>461</v>
      </c>
    </row>
    <row r="502">
      <c r="K502" s="26" t="s">
        <v>461</v>
      </c>
      <c r="L502" s="26" t="s">
        <v>461</v>
      </c>
    </row>
    <row r="503">
      <c r="K503" s="26" t="s">
        <v>461</v>
      </c>
      <c r="L503" s="26" t="s">
        <v>461</v>
      </c>
    </row>
    <row r="504">
      <c r="K504" s="26" t="s">
        <v>461</v>
      </c>
      <c r="L504" s="26" t="s">
        <v>461</v>
      </c>
    </row>
    <row r="505">
      <c r="K505" s="26" t="s">
        <v>461</v>
      </c>
      <c r="L505" s="26" t="s">
        <v>461</v>
      </c>
    </row>
    <row r="506">
      <c r="K506" s="26" t="s">
        <v>461</v>
      </c>
      <c r="L506" s="26" t="s">
        <v>461</v>
      </c>
    </row>
    <row r="507">
      <c r="K507" s="26" t="s">
        <v>461</v>
      </c>
      <c r="L507" s="26" t="s">
        <v>461</v>
      </c>
    </row>
    <row r="508">
      <c r="K508" s="26" t="s">
        <v>461</v>
      </c>
      <c r="L508" s="26" t="s">
        <v>461</v>
      </c>
    </row>
    <row r="509">
      <c r="K509" s="26" t="s">
        <v>461</v>
      </c>
      <c r="L509" s="26" t="s">
        <v>461</v>
      </c>
    </row>
    <row r="510">
      <c r="K510" s="26" t="s">
        <v>461</v>
      </c>
      <c r="L510" s="26" t="s">
        <v>461</v>
      </c>
    </row>
    <row r="511">
      <c r="K511" s="26" t="s">
        <v>461</v>
      </c>
      <c r="L511" s="26" t="s">
        <v>461</v>
      </c>
    </row>
    <row r="512">
      <c r="K512" s="26" t="s">
        <v>461</v>
      </c>
      <c r="L512" s="26" t="s">
        <v>461</v>
      </c>
    </row>
    <row r="513">
      <c r="K513" s="26" t="s">
        <v>461</v>
      </c>
      <c r="L513" s="26" t="s">
        <v>461</v>
      </c>
    </row>
    <row r="514">
      <c r="K514" s="26" t="s">
        <v>461</v>
      </c>
      <c r="L514" s="26" t="s">
        <v>461</v>
      </c>
    </row>
    <row r="515">
      <c r="K515" s="26" t="s">
        <v>461</v>
      </c>
      <c r="L515" s="26" t="s">
        <v>461</v>
      </c>
    </row>
    <row r="516">
      <c r="K516" s="26" t="s">
        <v>461</v>
      </c>
      <c r="L516" s="26" t="s">
        <v>461</v>
      </c>
    </row>
    <row r="517">
      <c r="K517" s="26" t="s">
        <v>461</v>
      </c>
      <c r="L517" s="26" t="s">
        <v>461</v>
      </c>
    </row>
    <row r="518">
      <c r="K518" s="26" t="s">
        <v>461</v>
      </c>
      <c r="L518" s="26" t="s">
        <v>461</v>
      </c>
    </row>
    <row r="519">
      <c r="K519" s="26" t="s">
        <v>461</v>
      </c>
      <c r="L519" s="26" t="s">
        <v>461</v>
      </c>
    </row>
    <row r="520">
      <c r="K520" s="26" t="s">
        <v>461</v>
      </c>
      <c r="L520" s="26" t="s">
        <v>461</v>
      </c>
    </row>
    <row r="521">
      <c r="K521" s="26" t="s">
        <v>461</v>
      </c>
      <c r="L521" s="26" t="s">
        <v>461</v>
      </c>
    </row>
    <row r="522">
      <c r="K522" s="26" t="s">
        <v>461</v>
      </c>
      <c r="L522" s="26" t="s">
        <v>461</v>
      </c>
    </row>
    <row r="523">
      <c r="K523" s="26" t="s">
        <v>461</v>
      </c>
      <c r="L523" s="26" t="s">
        <v>461</v>
      </c>
    </row>
    <row r="524">
      <c r="K524" s="26" t="s">
        <v>461</v>
      </c>
      <c r="L524" s="26" t="s">
        <v>461</v>
      </c>
    </row>
    <row r="525">
      <c r="K525" s="26" t="s">
        <v>461</v>
      </c>
      <c r="L525" s="26" t="s">
        <v>461</v>
      </c>
    </row>
    <row r="526">
      <c r="K526" s="26" t="s">
        <v>461</v>
      </c>
      <c r="L526" s="26" t="s">
        <v>461</v>
      </c>
    </row>
    <row r="527">
      <c r="K527" s="26" t="s">
        <v>461</v>
      </c>
      <c r="L527" s="26" t="s">
        <v>461</v>
      </c>
    </row>
    <row r="528">
      <c r="K528" s="26" t="s">
        <v>461</v>
      </c>
      <c r="L528" s="26" t="s">
        <v>461</v>
      </c>
    </row>
    <row r="529">
      <c r="K529" s="26" t="s">
        <v>461</v>
      </c>
      <c r="L529" s="26" t="s">
        <v>461</v>
      </c>
    </row>
    <row r="530">
      <c r="K530" s="26" t="s">
        <v>461</v>
      </c>
      <c r="L530" s="26" t="s">
        <v>461</v>
      </c>
    </row>
    <row r="531">
      <c r="K531" s="26" t="s">
        <v>461</v>
      </c>
      <c r="L531" s="26" t="s">
        <v>461</v>
      </c>
    </row>
    <row r="532">
      <c r="K532" s="26" t="s">
        <v>461</v>
      </c>
      <c r="L532" s="26" t="s">
        <v>461</v>
      </c>
    </row>
    <row r="533">
      <c r="K533" s="26" t="s">
        <v>461</v>
      </c>
      <c r="L533" s="26" t="s">
        <v>461</v>
      </c>
    </row>
    <row r="534">
      <c r="K534" s="26" t="s">
        <v>461</v>
      </c>
      <c r="L534" s="26" t="s">
        <v>461</v>
      </c>
    </row>
    <row r="535">
      <c r="K535" s="26" t="s">
        <v>461</v>
      </c>
      <c r="L535" s="26" t="s">
        <v>461</v>
      </c>
    </row>
    <row r="536">
      <c r="K536" s="26" t="s">
        <v>461</v>
      </c>
      <c r="L536" s="26" t="s">
        <v>461</v>
      </c>
    </row>
    <row r="537">
      <c r="K537" s="26" t="s">
        <v>461</v>
      </c>
      <c r="L537" s="26" t="s">
        <v>461</v>
      </c>
    </row>
    <row r="538">
      <c r="K538" s="26" t="s">
        <v>461</v>
      </c>
      <c r="L538" s="26" t="s">
        <v>461</v>
      </c>
    </row>
    <row r="539">
      <c r="K539" s="26" t="s">
        <v>461</v>
      </c>
      <c r="L539" s="26" t="s">
        <v>461</v>
      </c>
    </row>
    <row r="540">
      <c r="K540" s="26" t="s">
        <v>461</v>
      </c>
      <c r="L540" s="26" t="s">
        <v>461</v>
      </c>
    </row>
    <row r="541">
      <c r="K541" s="26" t="s">
        <v>461</v>
      </c>
      <c r="L541" s="26" t="s">
        <v>461</v>
      </c>
    </row>
    <row r="542">
      <c r="K542" s="26" t="s">
        <v>461</v>
      </c>
      <c r="L542" s="26" t="s">
        <v>461</v>
      </c>
    </row>
    <row r="543">
      <c r="K543" s="26" t="s">
        <v>461</v>
      </c>
      <c r="L543" s="26" t="s">
        <v>461</v>
      </c>
    </row>
    <row r="544">
      <c r="K544" s="26" t="s">
        <v>461</v>
      </c>
      <c r="L544" s="26" t="s">
        <v>461</v>
      </c>
    </row>
    <row r="545">
      <c r="K545" s="26" t="s">
        <v>461</v>
      </c>
      <c r="L545" s="26" t="s">
        <v>461</v>
      </c>
    </row>
    <row r="546">
      <c r="K546" s="26" t="s">
        <v>461</v>
      </c>
      <c r="L546" s="26" t="s">
        <v>461</v>
      </c>
    </row>
    <row r="547">
      <c r="K547" s="26" t="s">
        <v>461</v>
      </c>
      <c r="L547" s="26" t="s">
        <v>461</v>
      </c>
    </row>
    <row r="548">
      <c r="K548" s="26" t="s">
        <v>461</v>
      </c>
      <c r="L548" s="26" t="s">
        <v>461</v>
      </c>
    </row>
    <row r="549">
      <c r="K549" s="26" t="s">
        <v>461</v>
      </c>
      <c r="L549" s="26" t="s">
        <v>461</v>
      </c>
    </row>
    <row r="550">
      <c r="K550" s="26" t="s">
        <v>461</v>
      </c>
      <c r="L550" s="26" t="s">
        <v>461</v>
      </c>
    </row>
    <row r="551">
      <c r="K551" s="26" t="s">
        <v>461</v>
      </c>
      <c r="L551" s="26" t="s">
        <v>461</v>
      </c>
    </row>
    <row r="552">
      <c r="K552" s="26" t="s">
        <v>461</v>
      </c>
      <c r="L552" s="26" t="s">
        <v>461</v>
      </c>
    </row>
    <row r="553">
      <c r="K553" s="26" t="s">
        <v>461</v>
      </c>
      <c r="L553" s="26" t="s">
        <v>461</v>
      </c>
    </row>
    <row r="554">
      <c r="K554" s="26" t="s">
        <v>461</v>
      </c>
      <c r="L554" s="26" t="s">
        <v>461</v>
      </c>
    </row>
    <row r="555">
      <c r="K555" s="26" t="s">
        <v>461</v>
      </c>
      <c r="L555" s="26" t="s">
        <v>461</v>
      </c>
    </row>
    <row r="556">
      <c r="K556" s="26" t="s">
        <v>461</v>
      </c>
      <c r="L556" s="26" t="s">
        <v>461</v>
      </c>
    </row>
    <row r="557">
      <c r="K557" s="26" t="s">
        <v>461</v>
      </c>
      <c r="L557" s="26" t="s">
        <v>461</v>
      </c>
    </row>
    <row r="558">
      <c r="K558" s="26" t="s">
        <v>461</v>
      </c>
      <c r="L558" s="26" t="s">
        <v>461</v>
      </c>
    </row>
    <row r="559">
      <c r="K559" s="26" t="s">
        <v>461</v>
      </c>
      <c r="L559" s="26" t="s">
        <v>461</v>
      </c>
    </row>
    <row r="560">
      <c r="K560" s="26" t="s">
        <v>461</v>
      </c>
      <c r="L560" s="26" t="s">
        <v>461</v>
      </c>
    </row>
    <row r="561">
      <c r="K561" s="26" t="s">
        <v>461</v>
      </c>
      <c r="L561" s="26" t="s">
        <v>461</v>
      </c>
    </row>
    <row r="562">
      <c r="K562" s="26" t="s">
        <v>461</v>
      </c>
      <c r="L562" s="26" t="s">
        <v>461</v>
      </c>
    </row>
    <row r="563">
      <c r="K563" s="26" t="s">
        <v>461</v>
      </c>
      <c r="L563" s="26" t="s">
        <v>461</v>
      </c>
    </row>
    <row r="564">
      <c r="K564" s="26" t="s">
        <v>461</v>
      </c>
      <c r="L564" s="26" t="s">
        <v>461</v>
      </c>
    </row>
    <row r="565">
      <c r="K565" s="26" t="s">
        <v>461</v>
      </c>
      <c r="L565" s="26" t="s">
        <v>461</v>
      </c>
    </row>
    <row r="566">
      <c r="K566" s="26" t="s">
        <v>461</v>
      </c>
      <c r="L566" s="26" t="s">
        <v>461</v>
      </c>
    </row>
    <row r="567">
      <c r="K567" s="26" t="s">
        <v>461</v>
      </c>
      <c r="L567" s="26" t="s">
        <v>461</v>
      </c>
    </row>
    <row r="568">
      <c r="K568" s="26" t="s">
        <v>461</v>
      </c>
      <c r="L568" s="26" t="s">
        <v>461</v>
      </c>
    </row>
    <row r="569">
      <c r="K569" s="26" t="s">
        <v>461</v>
      </c>
      <c r="L569" s="26" t="s">
        <v>461</v>
      </c>
    </row>
    <row r="570">
      <c r="K570" s="26" t="s">
        <v>461</v>
      </c>
      <c r="L570" s="26" t="s">
        <v>461</v>
      </c>
    </row>
    <row r="571">
      <c r="K571" s="26" t="s">
        <v>461</v>
      </c>
      <c r="L571" s="26" t="s">
        <v>461</v>
      </c>
    </row>
    <row r="572">
      <c r="K572" s="26" t="s">
        <v>461</v>
      </c>
      <c r="L572" s="26" t="s">
        <v>461</v>
      </c>
    </row>
    <row r="573">
      <c r="K573" s="26" t="s">
        <v>461</v>
      </c>
      <c r="L573" s="26" t="s">
        <v>461</v>
      </c>
    </row>
    <row r="574">
      <c r="K574" s="26" t="s">
        <v>461</v>
      </c>
      <c r="L574" s="26" t="s">
        <v>461</v>
      </c>
    </row>
    <row r="575">
      <c r="K575" s="26" t="s">
        <v>461</v>
      </c>
      <c r="L575" s="26" t="s">
        <v>461</v>
      </c>
    </row>
    <row r="576">
      <c r="K576" s="26" t="s">
        <v>461</v>
      </c>
      <c r="L576" s="26" t="s">
        <v>461</v>
      </c>
    </row>
    <row r="577">
      <c r="K577" s="26" t="s">
        <v>461</v>
      </c>
      <c r="L577" s="26" t="s">
        <v>461</v>
      </c>
    </row>
    <row r="578">
      <c r="K578" s="26" t="s">
        <v>461</v>
      </c>
      <c r="L578" s="26" t="s">
        <v>461</v>
      </c>
    </row>
    <row r="579">
      <c r="K579" s="26" t="s">
        <v>461</v>
      </c>
      <c r="L579" s="26" t="s">
        <v>461</v>
      </c>
    </row>
    <row r="580">
      <c r="K580" s="26" t="s">
        <v>461</v>
      </c>
      <c r="L580" s="26" t="s">
        <v>461</v>
      </c>
    </row>
    <row r="581">
      <c r="K581" s="26" t="s">
        <v>461</v>
      </c>
      <c r="L581" s="26" t="s">
        <v>461</v>
      </c>
    </row>
    <row r="582">
      <c r="K582" s="26" t="s">
        <v>461</v>
      </c>
      <c r="L582" s="26" t="s">
        <v>461</v>
      </c>
    </row>
    <row r="583">
      <c r="K583" s="26" t="s">
        <v>461</v>
      </c>
      <c r="L583" s="26" t="s">
        <v>461</v>
      </c>
    </row>
    <row r="584">
      <c r="K584" s="26" t="s">
        <v>461</v>
      </c>
      <c r="L584" s="26" t="s">
        <v>461</v>
      </c>
    </row>
    <row r="585">
      <c r="K585" s="26" t="s">
        <v>461</v>
      </c>
      <c r="L585" s="26" t="s">
        <v>461</v>
      </c>
    </row>
    <row r="586">
      <c r="K586" s="26" t="s">
        <v>461</v>
      </c>
      <c r="L586" s="26" t="s">
        <v>461</v>
      </c>
    </row>
    <row r="587">
      <c r="K587" s="26" t="s">
        <v>461</v>
      </c>
      <c r="L587" s="26" t="s">
        <v>461</v>
      </c>
    </row>
    <row r="588">
      <c r="K588" s="26" t="s">
        <v>461</v>
      </c>
      <c r="L588" s="26" t="s">
        <v>461</v>
      </c>
    </row>
    <row r="589">
      <c r="K589" s="26" t="s">
        <v>461</v>
      </c>
      <c r="L589" s="26" t="s">
        <v>461</v>
      </c>
    </row>
    <row r="590">
      <c r="K590" s="26" t="s">
        <v>461</v>
      </c>
      <c r="L590" s="26" t="s">
        <v>461</v>
      </c>
    </row>
    <row r="591">
      <c r="K591" s="26" t="s">
        <v>461</v>
      </c>
      <c r="L591" s="26" t="s">
        <v>461</v>
      </c>
    </row>
    <row r="592">
      <c r="K592" s="26" t="s">
        <v>461</v>
      </c>
      <c r="L592" s="26" t="s">
        <v>461</v>
      </c>
    </row>
    <row r="593">
      <c r="K593" s="26" t="s">
        <v>461</v>
      </c>
      <c r="L593" s="26" t="s">
        <v>461</v>
      </c>
    </row>
    <row r="594">
      <c r="K594" s="26" t="s">
        <v>461</v>
      </c>
      <c r="L594" s="26" t="s">
        <v>461</v>
      </c>
    </row>
    <row r="595">
      <c r="K595" s="26" t="s">
        <v>461</v>
      </c>
      <c r="L595" s="26" t="s">
        <v>461</v>
      </c>
    </row>
    <row r="596">
      <c r="K596" s="26" t="s">
        <v>461</v>
      </c>
      <c r="L596" s="26" t="s">
        <v>461</v>
      </c>
    </row>
    <row r="597">
      <c r="K597" s="26" t="s">
        <v>461</v>
      </c>
      <c r="L597" s="26" t="s">
        <v>461</v>
      </c>
    </row>
    <row r="598">
      <c r="K598" s="26" t="s">
        <v>461</v>
      </c>
      <c r="L598" s="26" t="s">
        <v>461</v>
      </c>
    </row>
    <row r="599">
      <c r="K599" s="26" t="s">
        <v>461</v>
      </c>
      <c r="L599" s="26" t="s">
        <v>461</v>
      </c>
    </row>
    <row r="600">
      <c r="K600" s="26" t="s">
        <v>461</v>
      </c>
      <c r="L600" s="26" t="s">
        <v>461</v>
      </c>
    </row>
    <row r="601">
      <c r="K601" s="26" t="s">
        <v>461</v>
      </c>
      <c r="L601" s="26" t="s">
        <v>461</v>
      </c>
    </row>
    <row r="602">
      <c r="K602" s="26" t="s">
        <v>461</v>
      </c>
      <c r="L602" s="26" t="s">
        <v>461</v>
      </c>
    </row>
    <row r="603">
      <c r="K603" s="26" t="s">
        <v>461</v>
      </c>
      <c r="L603" s="26" t="s">
        <v>461</v>
      </c>
    </row>
    <row r="604">
      <c r="K604" s="26" t="s">
        <v>461</v>
      </c>
      <c r="L604" s="26" t="s">
        <v>461</v>
      </c>
    </row>
    <row r="605">
      <c r="K605" s="26" t="s">
        <v>461</v>
      </c>
      <c r="L605" s="26" t="s">
        <v>461</v>
      </c>
    </row>
    <row r="606">
      <c r="K606" s="26" t="s">
        <v>461</v>
      </c>
      <c r="L606" s="26" t="s">
        <v>461</v>
      </c>
    </row>
    <row r="607">
      <c r="K607" s="26" t="s">
        <v>461</v>
      </c>
      <c r="L607" s="26" t="s">
        <v>461</v>
      </c>
    </row>
    <row r="608">
      <c r="K608" s="26" t="s">
        <v>461</v>
      </c>
      <c r="L608" s="26" t="s">
        <v>461</v>
      </c>
    </row>
    <row r="609">
      <c r="K609" s="26" t="s">
        <v>461</v>
      </c>
      <c r="L609" s="26" t="s">
        <v>461</v>
      </c>
    </row>
    <row r="610">
      <c r="K610" s="26" t="s">
        <v>461</v>
      </c>
      <c r="L610" s="26" t="s">
        <v>461</v>
      </c>
    </row>
    <row r="611">
      <c r="K611" s="26" t="s">
        <v>461</v>
      </c>
      <c r="L611" s="26" t="s">
        <v>461</v>
      </c>
    </row>
    <row r="612">
      <c r="K612" s="26" t="s">
        <v>461</v>
      </c>
      <c r="L612" s="26" t="s">
        <v>461</v>
      </c>
    </row>
    <row r="613">
      <c r="K613" s="26" t="s">
        <v>461</v>
      </c>
      <c r="L613" s="26" t="s">
        <v>461</v>
      </c>
    </row>
    <row r="614">
      <c r="K614" s="26" t="s">
        <v>461</v>
      </c>
      <c r="L614" s="26" t="s">
        <v>461</v>
      </c>
    </row>
    <row r="615">
      <c r="K615" s="26" t="s">
        <v>461</v>
      </c>
      <c r="L615" s="26" t="s">
        <v>461</v>
      </c>
    </row>
    <row r="616">
      <c r="K616" s="26" t="s">
        <v>461</v>
      </c>
      <c r="L616" s="26" t="s">
        <v>461</v>
      </c>
    </row>
    <row r="617">
      <c r="K617" s="26" t="s">
        <v>461</v>
      </c>
      <c r="L617" s="26" t="s">
        <v>461</v>
      </c>
    </row>
    <row r="618">
      <c r="K618" s="26" t="s">
        <v>461</v>
      </c>
      <c r="L618" s="26" t="s">
        <v>461</v>
      </c>
    </row>
    <row r="619">
      <c r="K619" s="26" t="s">
        <v>461</v>
      </c>
      <c r="L619" s="26" t="s">
        <v>461</v>
      </c>
    </row>
    <row r="620">
      <c r="K620" s="26" t="s">
        <v>461</v>
      </c>
      <c r="L620" s="26" t="s">
        <v>461</v>
      </c>
    </row>
    <row r="621">
      <c r="K621" s="26" t="s">
        <v>461</v>
      </c>
      <c r="L621" s="26" t="s">
        <v>461</v>
      </c>
    </row>
    <row r="622">
      <c r="K622" s="26" t="s">
        <v>461</v>
      </c>
      <c r="L622" s="26" t="s">
        <v>461</v>
      </c>
    </row>
    <row r="623">
      <c r="K623" s="26" t="s">
        <v>461</v>
      </c>
      <c r="L623" s="26" t="s">
        <v>461</v>
      </c>
    </row>
    <row r="624">
      <c r="K624" s="26" t="s">
        <v>461</v>
      </c>
      <c r="L624" s="26" t="s">
        <v>461</v>
      </c>
    </row>
    <row r="625">
      <c r="K625" s="26" t="s">
        <v>461</v>
      </c>
      <c r="L625" s="26" t="s">
        <v>461</v>
      </c>
    </row>
    <row r="626">
      <c r="K626" s="26" t="s">
        <v>461</v>
      </c>
      <c r="L626" s="26" t="s">
        <v>461</v>
      </c>
    </row>
    <row r="627">
      <c r="K627" s="26" t="s">
        <v>461</v>
      </c>
      <c r="L627" s="26" t="s">
        <v>461</v>
      </c>
    </row>
    <row r="628">
      <c r="K628" s="26" t="s">
        <v>461</v>
      </c>
      <c r="L628" s="26" t="s">
        <v>461</v>
      </c>
    </row>
    <row r="629">
      <c r="K629" s="26" t="s">
        <v>461</v>
      </c>
      <c r="L629" s="26" t="s">
        <v>461</v>
      </c>
    </row>
    <row r="630">
      <c r="K630" s="26" t="s">
        <v>461</v>
      </c>
      <c r="L630" s="26" t="s">
        <v>461</v>
      </c>
    </row>
    <row r="631">
      <c r="K631" s="26" t="s">
        <v>461</v>
      </c>
      <c r="L631" s="26" t="s">
        <v>461</v>
      </c>
    </row>
    <row r="632">
      <c r="K632" s="26" t="s">
        <v>461</v>
      </c>
      <c r="L632" s="26" t="s">
        <v>461</v>
      </c>
    </row>
    <row r="633">
      <c r="K633" s="26" t="s">
        <v>461</v>
      </c>
      <c r="L633" s="26" t="s">
        <v>461</v>
      </c>
    </row>
    <row r="634">
      <c r="K634" s="26" t="s">
        <v>461</v>
      </c>
      <c r="L634" s="26" t="s">
        <v>461</v>
      </c>
    </row>
    <row r="635">
      <c r="K635" s="26" t="s">
        <v>461</v>
      </c>
      <c r="L635" s="26" t="s">
        <v>461</v>
      </c>
    </row>
    <row r="636">
      <c r="K636" s="26" t="s">
        <v>461</v>
      </c>
      <c r="L636" s="26" t="s">
        <v>461</v>
      </c>
    </row>
    <row r="637">
      <c r="K637" s="26" t="s">
        <v>461</v>
      </c>
      <c r="L637" s="26" t="s">
        <v>461</v>
      </c>
    </row>
    <row r="638">
      <c r="K638" s="26" t="s">
        <v>461</v>
      </c>
      <c r="L638" s="26" t="s">
        <v>461</v>
      </c>
    </row>
    <row r="639">
      <c r="K639" s="26" t="s">
        <v>461</v>
      </c>
      <c r="L639" s="26" t="s">
        <v>461</v>
      </c>
    </row>
    <row r="640">
      <c r="K640" s="26" t="s">
        <v>461</v>
      </c>
      <c r="L640" s="26" t="s">
        <v>461</v>
      </c>
    </row>
    <row r="641">
      <c r="K641" s="26" t="s">
        <v>461</v>
      </c>
      <c r="L641" s="26" t="s">
        <v>461</v>
      </c>
    </row>
    <row r="642">
      <c r="K642" s="26" t="s">
        <v>461</v>
      </c>
      <c r="L642" s="26" t="s">
        <v>461</v>
      </c>
    </row>
    <row r="643">
      <c r="K643" s="26" t="s">
        <v>461</v>
      </c>
      <c r="L643" s="26" t="s">
        <v>461</v>
      </c>
    </row>
    <row r="644">
      <c r="K644" s="26" t="s">
        <v>461</v>
      </c>
      <c r="L644" s="26" t="s">
        <v>461</v>
      </c>
    </row>
    <row r="645">
      <c r="K645" s="26" t="s">
        <v>461</v>
      </c>
      <c r="L645" s="26" t="s">
        <v>461</v>
      </c>
    </row>
    <row r="646">
      <c r="K646" s="26" t="s">
        <v>461</v>
      </c>
      <c r="L646" s="26" t="s">
        <v>461</v>
      </c>
    </row>
    <row r="647">
      <c r="K647" s="26" t="s">
        <v>461</v>
      </c>
      <c r="L647" s="26" t="s">
        <v>461</v>
      </c>
    </row>
    <row r="648">
      <c r="K648" s="26" t="s">
        <v>461</v>
      </c>
      <c r="L648" s="26" t="s">
        <v>461</v>
      </c>
    </row>
    <row r="649">
      <c r="K649" s="26" t="s">
        <v>461</v>
      </c>
      <c r="L649" s="26" t="s">
        <v>461</v>
      </c>
    </row>
    <row r="650">
      <c r="K650" s="26" t="s">
        <v>461</v>
      </c>
      <c r="L650" s="26" t="s">
        <v>461</v>
      </c>
    </row>
    <row r="651">
      <c r="K651" s="26" t="s">
        <v>461</v>
      </c>
      <c r="L651" s="26" t="s">
        <v>461</v>
      </c>
    </row>
    <row r="652">
      <c r="K652" s="26" t="s">
        <v>461</v>
      </c>
      <c r="L652" s="26" t="s">
        <v>461</v>
      </c>
    </row>
    <row r="653">
      <c r="K653" s="26" t="s">
        <v>461</v>
      </c>
      <c r="L653" s="26" t="s">
        <v>461</v>
      </c>
    </row>
    <row r="654">
      <c r="K654" s="26" t="s">
        <v>461</v>
      </c>
      <c r="L654" s="26" t="s">
        <v>461</v>
      </c>
    </row>
    <row r="655">
      <c r="K655" s="26" t="s">
        <v>461</v>
      </c>
      <c r="L655" s="26" t="s">
        <v>461</v>
      </c>
    </row>
    <row r="656">
      <c r="K656" s="26" t="s">
        <v>461</v>
      </c>
      <c r="L656" s="26" t="s">
        <v>461</v>
      </c>
    </row>
    <row r="657">
      <c r="K657" s="26" t="s">
        <v>461</v>
      </c>
      <c r="L657" s="26" t="s">
        <v>461</v>
      </c>
    </row>
    <row r="658">
      <c r="K658" s="26" t="s">
        <v>461</v>
      </c>
      <c r="L658" s="26" t="s">
        <v>461</v>
      </c>
    </row>
    <row r="659">
      <c r="K659" s="26" t="s">
        <v>461</v>
      </c>
      <c r="L659" s="26" t="s">
        <v>461</v>
      </c>
    </row>
    <row r="660">
      <c r="K660" s="26" t="s">
        <v>461</v>
      </c>
      <c r="L660" s="26" t="s">
        <v>461</v>
      </c>
    </row>
    <row r="661">
      <c r="K661" s="26" t="s">
        <v>461</v>
      </c>
      <c r="L661" s="26" t="s">
        <v>461</v>
      </c>
    </row>
    <row r="662">
      <c r="K662" s="26" t="s">
        <v>461</v>
      </c>
      <c r="L662" s="26" t="s">
        <v>461</v>
      </c>
    </row>
    <row r="663">
      <c r="K663" s="26" t="s">
        <v>461</v>
      </c>
      <c r="L663" s="26" t="s">
        <v>461</v>
      </c>
    </row>
    <row r="664">
      <c r="K664" s="26" t="s">
        <v>461</v>
      </c>
      <c r="L664" s="26" t="s">
        <v>461</v>
      </c>
    </row>
    <row r="665">
      <c r="K665" s="26" t="s">
        <v>461</v>
      </c>
      <c r="L665" s="26" t="s">
        <v>461</v>
      </c>
    </row>
    <row r="666">
      <c r="K666" s="26" t="s">
        <v>461</v>
      </c>
      <c r="L666" s="26" t="s">
        <v>461</v>
      </c>
    </row>
    <row r="667">
      <c r="K667" s="26" t="s">
        <v>461</v>
      </c>
      <c r="L667" s="26" t="s">
        <v>461</v>
      </c>
    </row>
    <row r="668">
      <c r="K668" s="26" t="s">
        <v>461</v>
      </c>
      <c r="L668" s="26" t="s">
        <v>461</v>
      </c>
    </row>
    <row r="669">
      <c r="K669" s="26" t="s">
        <v>461</v>
      </c>
      <c r="L669" s="26" t="s">
        <v>461</v>
      </c>
    </row>
    <row r="670">
      <c r="K670" s="26" t="s">
        <v>461</v>
      </c>
      <c r="L670" s="26" t="s">
        <v>461</v>
      </c>
    </row>
    <row r="671">
      <c r="K671" s="26" t="s">
        <v>461</v>
      </c>
      <c r="L671" s="26" t="s">
        <v>461</v>
      </c>
    </row>
    <row r="672">
      <c r="K672" s="26" t="s">
        <v>461</v>
      </c>
      <c r="L672" s="26" t="s">
        <v>461</v>
      </c>
    </row>
    <row r="673">
      <c r="K673" s="26" t="s">
        <v>461</v>
      </c>
      <c r="L673" s="26" t="s">
        <v>461</v>
      </c>
    </row>
    <row r="674">
      <c r="K674" s="26" t="s">
        <v>461</v>
      </c>
      <c r="L674" s="26" t="s">
        <v>461</v>
      </c>
    </row>
    <row r="675">
      <c r="K675" s="26" t="s">
        <v>461</v>
      </c>
      <c r="L675" s="26" t="s">
        <v>461</v>
      </c>
    </row>
    <row r="676">
      <c r="K676" s="26" t="s">
        <v>461</v>
      </c>
      <c r="L676" s="26" t="s">
        <v>461</v>
      </c>
    </row>
    <row r="677">
      <c r="K677" s="26" t="s">
        <v>461</v>
      </c>
      <c r="L677" s="26" t="s">
        <v>461</v>
      </c>
    </row>
    <row r="678">
      <c r="K678" s="26" t="s">
        <v>461</v>
      </c>
      <c r="L678" s="26" t="s">
        <v>461</v>
      </c>
    </row>
    <row r="679">
      <c r="K679" s="26" t="s">
        <v>461</v>
      </c>
      <c r="L679" s="26" t="s">
        <v>461</v>
      </c>
    </row>
    <row r="680">
      <c r="K680" s="26" t="s">
        <v>461</v>
      </c>
      <c r="L680" s="26" t="s">
        <v>461</v>
      </c>
    </row>
    <row r="681">
      <c r="K681" s="26" t="s">
        <v>461</v>
      </c>
      <c r="L681" s="26" t="s">
        <v>461</v>
      </c>
    </row>
    <row r="682">
      <c r="K682" s="26" t="s">
        <v>461</v>
      </c>
      <c r="L682" s="26" t="s">
        <v>461</v>
      </c>
    </row>
    <row r="683">
      <c r="K683" s="26" t="s">
        <v>461</v>
      </c>
      <c r="L683" s="26" t="s">
        <v>461</v>
      </c>
    </row>
    <row r="684">
      <c r="K684" s="26" t="s">
        <v>461</v>
      </c>
      <c r="L684" s="26" t="s">
        <v>461</v>
      </c>
    </row>
    <row r="685">
      <c r="K685" s="26" t="s">
        <v>461</v>
      </c>
      <c r="L685" s="26" t="s">
        <v>461</v>
      </c>
    </row>
    <row r="686">
      <c r="K686" s="26" t="s">
        <v>461</v>
      </c>
      <c r="L686" s="26" t="s">
        <v>461</v>
      </c>
    </row>
    <row r="687">
      <c r="K687" s="26" t="s">
        <v>461</v>
      </c>
      <c r="L687" s="26" t="s">
        <v>461</v>
      </c>
    </row>
    <row r="688">
      <c r="K688" s="26" t="s">
        <v>461</v>
      </c>
      <c r="L688" s="26" t="s">
        <v>461</v>
      </c>
    </row>
    <row r="689">
      <c r="K689" s="26" t="s">
        <v>461</v>
      </c>
      <c r="L689" s="26" t="s">
        <v>461</v>
      </c>
    </row>
    <row r="690">
      <c r="K690" s="26" t="s">
        <v>461</v>
      </c>
      <c r="L690" s="26" t="s">
        <v>461</v>
      </c>
    </row>
    <row r="691">
      <c r="K691" s="26" t="s">
        <v>461</v>
      </c>
      <c r="L691" s="26" t="s">
        <v>461</v>
      </c>
    </row>
    <row r="692">
      <c r="K692" s="26" t="s">
        <v>461</v>
      </c>
      <c r="L692" s="26" t="s">
        <v>461</v>
      </c>
    </row>
    <row r="693">
      <c r="K693" s="26" t="s">
        <v>461</v>
      </c>
      <c r="L693" s="26" t="s">
        <v>461</v>
      </c>
    </row>
    <row r="694">
      <c r="K694" s="26" t="s">
        <v>461</v>
      </c>
      <c r="L694" s="26" t="s">
        <v>461</v>
      </c>
    </row>
    <row r="695">
      <c r="K695" s="26" t="s">
        <v>461</v>
      </c>
      <c r="L695" s="26" t="s">
        <v>461</v>
      </c>
    </row>
    <row r="696">
      <c r="K696" s="26" t="s">
        <v>461</v>
      </c>
      <c r="L696" s="26" t="s">
        <v>461</v>
      </c>
    </row>
    <row r="697">
      <c r="K697" s="26" t="s">
        <v>461</v>
      </c>
      <c r="L697" s="26" t="s">
        <v>461</v>
      </c>
    </row>
    <row r="698">
      <c r="K698" s="26" t="s">
        <v>461</v>
      </c>
      <c r="L698" s="26" t="s">
        <v>461</v>
      </c>
    </row>
    <row r="699">
      <c r="K699" s="26" t="s">
        <v>461</v>
      </c>
      <c r="L699" s="26" t="s">
        <v>461</v>
      </c>
    </row>
    <row r="700">
      <c r="K700" s="26" t="s">
        <v>461</v>
      </c>
      <c r="L700" s="26" t="s">
        <v>461</v>
      </c>
    </row>
    <row r="701">
      <c r="K701" s="26" t="s">
        <v>461</v>
      </c>
      <c r="L701" s="26" t="s">
        <v>461</v>
      </c>
    </row>
    <row r="702">
      <c r="K702" s="26" t="s">
        <v>461</v>
      </c>
      <c r="L702" s="26" t="s">
        <v>461</v>
      </c>
    </row>
    <row r="703">
      <c r="K703" s="26" t="s">
        <v>461</v>
      </c>
      <c r="L703" s="26" t="s">
        <v>461</v>
      </c>
    </row>
    <row r="704">
      <c r="K704" s="26" t="s">
        <v>461</v>
      </c>
      <c r="L704" s="26" t="s">
        <v>461</v>
      </c>
    </row>
    <row r="705">
      <c r="K705" s="26" t="s">
        <v>461</v>
      </c>
      <c r="L705" s="26" t="s">
        <v>461</v>
      </c>
    </row>
    <row r="706">
      <c r="K706" s="26" t="s">
        <v>461</v>
      </c>
      <c r="L706" s="26" t="s">
        <v>461</v>
      </c>
    </row>
    <row r="707">
      <c r="K707" s="26" t="s">
        <v>461</v>
      </c>
      <c r="L707" s="26" t="s">
        <v>461</v>
      </c>
    </row>
    <row r="708">
      <c r="K708" s="26" t="s">
        <v>461</v>
      </c>
      <c r="L708" s="26" t="s">
        <v>461</v>
      </c>
    </row>
    <row r="709">
      <c r="K709" s="26" t="s">
        <v>461</v>
      </c>
      <c r="L709" s="26" t="s">
        <v>461</v>
      </c>
    </row>
    <row r="710">
      <c r="K710" s="26" t="s">
        <v>461</v>
      </c>
      <c r="L710" s="26" t="s">
        <v>461</v>
      </c>
    </row>
    <row r="711">
      <c r="K711" s="26" t="s">
        <v>461</v>
      </c>
      <c r="L711" s="26" t="s">
        <v>461</v>
      </c>
    </row>
    <row r="712">
      <c r="K712" s="26" t="s">
        <v>461</v>
      </c>
      <c r="L712" s="26" t="s">
        <v>461</v>
      </c>
    </row>
    <row r="713">
      <c r="K713" s="26" t="s">
        <v>461</v>
      </c>
      <c r="L713" s="26" t="s">
        <v>461</v>
      </c>
    </row>
    <row r="714">
      <c r="K714" s="26" t="s">
        <v>461</v>
      </c>
      <c r="L714" s="26" t="s">
        <v>461</v>
      </c>
    </row>
    <row r="715">
      <c r="K715" s="26" t="s">
        <v>461</v>
      </c>
      <c r="L715" s="26" t="s">
        <v>461</v>
      </c>
    </row>
    <row r="716">
      <c r="K716" s="26" t="s">
        <v>461</v>
      </c>
      <c r="L716" s="26" t="s">
        <v>461</v>
      </c>
    </row>
    <row r="717">
      <c r="K717" s="26" t="s">
        <v>461</v>
      </c>
      <c r="L717" s="26" t="s">
        <v>461</v>
      </c>
    </row>
    <row r="718">
      <c r="K718" s="26" t="s">
        <v>461</v>
      </c>
      <c r="L718" s="26" t="s">
        <v>461</v>
      </c>
    </row>
    <row r="719">
      <c r="K719" s="26" t="s">
        <v>461</v>
      </c>
      <c r="L719" s="26" t="s">
        <v>461</v>
      </c>
    </row>
    <row r="720">
      <c r="K720" s="26" t="s">
        <v>461</v>
      </c>
      <c r="L720" s="26" t="s">
        <v>461</v>
      </c>
    </row>
    <row r="721">
      <c r="K721" s="26" t="s">
        <v>461</v>
      </c>
      <c r="L721" s="26" t="s">
        <v>461</v>
      </c>
    </row>
    <row r="722">
      <c r="K722" s="26" t="s">
        <v>461</v>
      </c>
      <c r="L722" s="26" t="s">
        <v>461</v>
      </c>
    </row>
    <row r="723">
      <c r="K723" s="26" t="s">
        <v>461</v>
      </c>
      <c r="L723" s="26" t="s">
        <v>461</v>
      </c>
    </row>
    <row r="724">
      <c r="K724" s="26" t="s">
        <v>461</v>
      </c>
      <c r="L724" s="26" t="s">
        <v>461</v>
      </c>
    </row>
    <row r="725">
      <c r="K725" s="26" t="s">
        <v>461</v>
      </c>
      <c r="L725" s="26" t="s">
        <v>461</v>
      </c>
    </row>
    <row r="726">
      <c r="K726" s="26" t="s">
        <v>461</v>
      </c>
      <c r="L726" s="26" t="s">
        <v>461</v>
      </c>
    </row>
    <row r="727">
      <c r="K727" s="26" t="s">
        <v>461</v>
      </c>
      <c r="L727" s="26" t="s">
        <v>461</v>
      </c>
    </row>
    <row r="728">
      <c r="K728" s="26" t="s">
        <v>461</v>
      </c>
      <c r="L728" s="26" t="s">
        <v>461</v>
      </c>
    </row>
    <row r="729">
      <c r="K729" s="26" t="s">
        <v>461</v>
      </c>
      <c r="L729" s="26" t="s">
        <v>461</v>
      </c>
    </row>
    <row r="730">
      <c r="K730" s="26" t="s">
        <v>461</v>
      </c>
      <c r="L730" s="26" t="s">
        <v>461</v>
      </c>
    </row>
    <row r="731">
      <c r="K731" s="26" t="s">
        <v>461</v>
      </c>
      <c r="L731" s="26" t="s">
        <v>461</v>
      </c>
    </row>
    <row r="732">
      <c r="K732" s="26" t="s">
        <v>461</v>
      </c>
      <c r="L732" s="26" t="s">
        <v>461</v>
      </c>
    </row>
    <row r="733">
      <c r="K733" s="26" t="s">
        <v>461</v>
      </c>
      <c r="L733" s="26" t="s">
        <v>461</v>
      </c>
    </row>
    <row r="734">
      <c r="K734" s="26" t="s">
        <v>461</v>
      </c>
      <c r="L734" s="26" t="s">
        <v>461</v>
      </c>
    </row>
    <row r="735">
      <c r="K735" s="26" t="s">
        <v>461</v>
      </c>
      <c r="L735" s="26" t="s">
        <v>461</v>
      </c>
    </row>
    <row r="736">
      <c r="K736" s="26" t="s">
        <v>461</v>
      </c>
      <c r="L736" s="26" t="s">
        <v>461</v>
      </c>
    </row>
    <row r="737">
      <c r="K737" s="26" t="s">
        <v>461</v>
      </c>
      <c r="L737" s="26" t="s">
        <v>461</v>
      </c>
    </row>
    <row r="738">
      <c r="K738" s="26" t="s">
        <v>461</v>
      </c>
      <c r="L738" s="26" t="s">
        <v>461</v>
      </c>
    </row>
    <row r="739">
      <c r="K739" s="26" t="s">
        <v>461</v>
      </c>
      <c r="L739" s="26" t="s">
        <v>461</v>
      </c>
    </row>
    <row r="740">
      <c r="K740" s="26" t="s">
        <v>461</v>
      </c>
      <c r="L740" s="26" t="s">
        <v>461</v>
      </c>
    </row>
    <row r="741">
      <c r="K741" s="26" t="s">
        <v>461</v>
      </c>
      <c r="L741" s="26" t="s">
        <v>461</v>
      </c>
    </row>
    <row r="742">
      <c r="K742" s="26" t="s">
        <v>461</v>
      </c>
      <c r="L742" s="26" t="s">
        <v>461</v>
      </c>
    </row>
    <row r="743">
      <c r="K743" s="26" t="s">
        <v>461</v>
      </c>
      <c r="L743" s="26" t="s">
        <v>461</v>
      </c>
    </row>
    <row r="744">
      <c r="K744" s="26" t="s">
        <v>461</v>
      </c>
      <c r="L744" s="26" t="s">
        <v>461</v>
      </c>
    </row>
    <row r="745">
      <c r="K745" s="26" t="s">
        <v>461</v>
      </c>
      <c r="L745" s="26" t="s">
        <v>461</v>
      </c>
    </row>
    <row r="746">
      <c r="K746" s="26" t="s">
        <v>461</v>
      </c>
      <c r="L746" s="26" t="s">
        <v>461</v>
      </c>
    </row>
    <row r="747">
      <c r="K747" s="26" t="s">
        <v>461</v>
      </c>
      <c r="L747" s="26" t="s">
        <v>461</v>
      </c>
    </row>
    <row r="748">
      <c r="K748" s="26" t="s">
        <v>461</v>
      </c>
      <c r="L748" s="26" t="s">
        <v>461</v>
      </c>
    </row>
    <row r="749">
      <c r="K749" s="26" t="s">
        <v>461</v>
      </c>
      <c r="L749" s="26" t="s">
        <v>461</v>
      </c>
    </row>
    <row r="750">
      <c r="K750" s="26" t="s">
        <v>461</v>
      </c>
      <c r="L750" s="26" t="s">
        <v>461</v>
      </c>
    </row>
    <row r="751">
      <c r="K751" s="26" t="s">
        <v>461</v>
      </c>
      <c r="L751" s="26" t="s">
        <v>461</v>
      </c>
    </row>
    <row r="752">
      <c r="K752" s="26" t="s">
        <v>461</v>
      </c>
      <c r="L752" s="26" t="s">
        <v>461</v>
      </c>
    </row>
    <row r="753">
      <c r="K753" s="26" t="s">
        <v>461</v>
      </c>
      <c r="L753" s="26" t="s">
        <v>461</v>
      </c>
    </row>
    <row r="754">
      <c r="K754" s="26" t="s">
        <v>461</v>
      </c>
      <c r="L754" s="26" t="s">
        <v>461</v>
      </c>
    </row>
    <row r="755">
      <c r="K755" s="26" t="s">
        <v>461</v>
      </c>
      <c r="L755" s="26" t="s">
        <v>461</v>
      </c>
    </row>
    <row r="756">
      <c r="K756" s="26" t="s">
        <v>461</v>
      </c>
      <c r="L756" s="26" t="s">
        <v>461</v>
      </c>
    </row>
    <row r="757">
      <c r="K757" s="26" t="s">
        <v>461</v>
      </c>
      <c r="L757" s="26" t="s">
        <v>461</v>
      </c>
    </row>
    <row r="758">
      <c r="K758" s="26" t="s">
        <v>461</v>
      </c>
      <c r="L758" s="26" t="s">
        <v>461</v>
      </c>
    </row>
    <row r="759">
      <c r="K759" s="26" t="s">
        <v>461</v>
      </c>
      <c r="L759" s="26" t="s">
        <v>461</v>
      </c>
    </row>
    <row r="760">
      <c r="K760" s="26" t="s">
        <v>461</v>
      </c>
      <c r="L760" s="26" t="s">
        <v>461</v>
      </c>
    </row>
    <row r="761">
      <c r="K761" s="26" t="s">
        <v>461</v>
      </c>
      <c r="L761" s="26" t="s">
        <v>461</v>
      </c>
    </row>
    <row r="762">
      <c r="K762" s="26" t="s">
        <v>461</v>
      </c>
      <c r="L762" s="26" t="s">
        <v>461</v>
      </c>
    </row>
    <row r="763">
      <c r="K763" s="26" t="s">
        <v>461</v>
      </c>
      <c r="L763" s="26" t="s">
        <v>461</v>
      </c>
    </row>
    <row r="764">
      <c r="K764" s="26" t="s">
        <v>461</v>
      </c>
      <c r="L764" s="26" t="s">
        <v>461</v>
      </c>
    </row>
    <row r="765">
      <c r="K765" s="26" t="s">
        <v>461</v>
      </c>
      <c r="L765" s="26" t="s">
        <v>461</v>
      </c>
    </row>
    <row r="766">
      <c r="K766" s="26" t="s">
        <v>461</v>
      </c>
      <c r="L766" s="26" t="s">
        <v>461</v>
      </c>
    </row>
    <row r="767">
      <c r="K767" s="26" t="s">
        <v>461</v>
      </c>
      <c r="L767" s="26" t="s">
        <v>461</v>
      </c>
    </row>
    <row r="768">
      <c r="K768" s="26" t="s">
        <v>461</v>
      </c>
      <c r="L768" s="26" t="s">
        <v>461</v>
      </c>
    </row>
    <row r="769">
      <c r="K769" s="26" t="s">
        <v>461</v>
      </c>
      <c r="L769" s="26" t="s">
        <v>461</v>
      </c>
    </row>
    <row r="770">
      <c r="K770" s="26" t="s">
        <v>461</v>
      </c>
      <c r="L770" s="26" t="s">
        <v>461</v>
      </c>
    </row>
    <row r="771">
      <c r="K771" s="26" t="s">
        <v>461</v>
      </c>
      <c r="L771" s="26" t="s">
        <v>461</v>
      </c>
    </row>
    <row r="772">
      <c r="K772" s="26" t="s">
        <v>461</v>
      </c>
      <c r="L772" s="26" t="s">
        <v>461</v>
      </c>
    </row>
    <row r="773">
      <c r="K773" s="26" t="s">
        <v>461</v>
      </c>
      <c r="L773" s="26" t="s">
        <v>461</v>
      </c>
    </row>
    <row r="774">
      <c r="K774" s="26" t="s">
        <v>461</v>
      </c>
      <c r="L774" s="26" t="s">
        <v>461</v>
      </c>
    </row>
    <row r="775">
      <c r="K775" s="26" t="s">
        <v>461</v>
      </c>
      <c r="L775" s="26" t="s">
        <v>461</v>
      </c>
    </row>
    <row r="776">
      <c r="K776" s="26" t="s">
        <v>461</v>
      </c>
      <c r="L776" s="26" t="s">
        <v>461</v>
      </c>
    </row>
    <row r="777">
      <c r="K777" s="26" t="s">
        <v>461</v>
      </c>
      <c r="L777" s="26" t="s">
        <v>461</v>
      </c>
    </row>
    <row r="778">
      <c r="K778" s="26" t="s">
        <v>461</v>
      </c>
      <c r="L778" s="26" t="s">
        <v>461</v>
      </c>
    </row>
    <row r="779">
      <c r="K779" s="26" t="s">
        <v>461</v>
      </c>
      <c r="L779" s="26" t="s">
        <v>461</v>
      </c>
    </row>
    <row r="780">
      <c r="K780" s="26" t="s">
        <v>461</v>
      </c>
      <c r="L780" s="26" t="s">
        <v>461</v>
      </c>
    </row>
    <row r="781">
      <c r="K781" s="26" t="s">
        <v>461</v>
      </c>
      <c r="L781" s="26" t="s">
        <v>461</v>
      </c>
    </row>
    <row r="782">
      <c r="K782" s="26" t="s">
        <v>461</v>
      </c>
      <c r="L782" s="26" t="s">
        <v>461</v>
      </c>
    </row>
    <row r="783">
      <c r="K783" s="26" t="s">
        <v>461</v>
      </c>
      <c r="L783" s="26" t="s">
        <v>461</v>
      </c>
    </row>
    <row r="784">
      <c r="K784" s="26" t="s">
        <v>461</v>
      </c>
      <c r="L784" s="26" t="s">
        <v>461</v>
      </c>
    </row>
    <row r="785">
      <c r="K785" s="26" t="s">
        <v>461</v>
      </c>
      <c r="L785" s="26" t="s">
        <v>461</v>
      </c>
    </row>
    <row r="786">
      <c r="K786" s="26" t="s">
        <v>461</v>
      </c>
      <c r="L786" s="26" t="s">
        <v>461</v>
      </c>
    </row>
    <row r="787">
      <c r="K787" s="26" t="s">
        <v>461</v>
      </c>
      <c r="L787" s="26" t="s">
        <v>461</v>
      </c>
    </row>
    <row r="788">
      <c r="K788" s="26" t="s">
        <v>461</v>
      </c>
      <c r="L788" s="26" t="s">
        <v>461</v>
      </c>
    </row>
    <row r="789">
      <c r="K789" s="26" t="s">
        <v>461</v>
      </c>
      <c r="L789" s="26" t="s">
        <v>461</v>
      </c>
    </row>
    <row r="790">
      <c r="K790" s="26" t="s">
        <v>461</v>
      </c>
      <c r="L790" s="26" t="s">
        <v>461</v>
      </c>
    </row>
    <row r="791">
      <c r="K791" s="26" t="s">
        <v>461</v>
      </c>
      <c r="L791" s="26" t="s">
        <v>461</v>
      </c>
    </row>
    <row r="792">
      <c r="K792" s="26" t="s">
        <v>461</v>
      </c>
      <c r="L792" s="26" t="s">
        <v>461</v>
      </c>
    </row>
    <row r="793">
      <c r="K793" s="26" t="s">
        <v>461</v>
      </c>
      <c r="L793" s="26" t="s">
        <v>461</v>
      </c>
    </row>
    <row r="794">
      <c r="K794" s="26" t="s">
        <v>461</v>
      </c>
      <c r="L794" s="26" t="s">
        <v>461</v>
      </c>
    </row>
    <row r="795">
      <c r="K795" s="26" t="s">
        <v>461</v>
      </c>
      <c r="L795" s="26" t="s">
        <v>461</v>
      </c>
    </row>
    <row r="796">
      <c r="K796" s="26" t="s">
        <v>461</v>
      </c>
      <c r="L796" s="26" t="s">
        <v>461</v>
      </c>
    </row>
    <row r="797">
      <c r="K797" s="26" t="s">
        <v>461</v>
      </c>
      <c r="L797" s="26" t="s">
        <v>461</v>
      </c>
    </row>
    <row r="798">
      <c r="K798" s="26" t="s">
        <v>461</v>
      </c>
      <c r="L798" s="26" t="s">
        <v>461</v>
      </c>
    </row>
    <row r="799">
      <c r="K799" s="26" t="s">
        <v>461</v>
      </c>
      <c r="L799" s="26" t="s">
        <v>461</v>
      </c>
    </row>
    <row r="800">
      <c r="K800" s="26" t="s">
        <v>461</v>
      </c>
      <c r="L800" s="26" t="s">
        <v>461</v>
      </c>
    </row>
    <row r="801">
      <c r="K801" s="26" t="s">
        <v>461</v>
      </c>
      <c r="L801" s="26" t="s">
        <v>461</v>
      </c>
    </row>
    <row r="802">
      <c r="K802" s="26" t="s">
        <v>461</v>
      </c>
      <c r="L802" s="26" t="s">
        <v>461</v>
      </c>
    </row>
    <row r="803">
      <c r="K803" s="26" t="s">
        <v>461</v>
      </c>
      <c r="L803" s="26" t="s">
        <v>461</v>
      </c>
    </row>
    <row r="804">
      <c r="K804" s="26" t="s">
        <v>461</v>
      </c>
      <c r="L804" s="26" t="s">
        <v>461</v>
      </c>
    </row>
    <row r="805">
      <c r="K805" s="26" t="s">
        <v>461</v>
      </c>
      <c r="L805" s="26" t="s">
        <v>461</v>
      </c>
    </row>
    <row r="806">
      <c r="K806" s="26" t="s">
        <v>461</v>
      </c>
      <c r="L806" s="26" t="s">
        <v>461</v>
      </c>
    </row>
    <row r="807">
      <c r="K807" s="26" t="s">
        <v>461</v>
      </c>
      <c r="L807" s="26" t="s">
        <v>461</v>
      </c>
    </row>
    <row r="808">
      <c r="K808" s="26" t="s">
        <v>461</v>
      </c>
      <c r="L808" s="26" t="s">
        <v>461</v>
      </c>
    </row>
    <row r="809">
      <c r="K809" s="26" t="s">
        <v>461</v>
      </c>
      <c r="L809" s="26" t="s">
        <v>461</v>
      </c>
    </row>
    <row r="810">
      <c r="K810" s="26" t="s">
        <v>461</v>
      </c>
      <c r="L810" s="26" t="s">
        <v>461</v>
      </c>
    </row>
    <row r="811">
      <c r="K811" s="26" t="s">
        <v>461</v>
      </c>
      <c r="L811" s="26" t="s">
        <v>461</v>
      </c>
    </row>
    <row r="812">
      <c r="K812" s="26" t="s">
        <v>461</v>
      </c>
      <c r="L812" s="26" t="s">
        <v>461</v>
      </c>
    </row>
    <row r="813">
      <c r="K813" s="26" t="s">
        <v>461</v>
      </c>
      <c r="L813" s="26" t="s">
        <v>461</v>
      </c>
    </row>
    <row r="814">
      <c r="K814" s="26" t="s">
        <v>461</v>
      </c>
      <c r="L814" s="26" t="s">
        <v>461</v>
      </c>
    </row>
    <row r="815">
      <c r="K815" s="26" t="s">
        <v>461</v>
      </c>
      <c r="L815" s="26" t="s">
        <v>461</v>
      </c>
    </row>
    <row r="816">
      <c r="K816" s="26" t="s">
        <v>461</v>
      </c>
      <c r="L816" s="26" t="s">
        <v>461</v>
      </c>
    </row>
    <row r="817">
      <c r="K817" s="26" t="s">
        <v>461</v>
      </c>
      <c r="L817" s="26" t="s">
        <v>461</v>
      </c>
    </row>
    <row r="818">
      <c r="K818" s="26" t="s">
        <v>461</v>
      </c>
      <c r="L818" s="26" t="s">
        <v>461</v>
      </c>
    </row>
    <row r="819">
      <c r="K819" s="26" t="s">
        <v>461</v>
      </c>
      <c r="L819" s="26" t="s">
        <v>461</v>
      </c>
    </row>
    <row r="820">
      <c r="K820" s="26" t="s">
        <v>461</v>
      </c>
      <c r="L820" s="26" t="s">
        <v>461</v>
      </c>
    </row>
    <row r="821">
      <c r="K821" s="26" t="s">
        <v>461</v>
      </c>
      <c r="L821" s="26" t="s">
        <v>461</v>
      </c>
    </row>
    <row r="822">
      <c r="K822" s="26" t="s">
        <v>461</v>
      </c>
      <c r="L822" s="26" t="s">
        <v>461</v>
      </c>
    </row>
    <row r="823">
      <c r="K823" s="26" t="s">
        <v>461</v>
      </c>
      <c r="L823" s="26" t="s">
        <v>461</v>
      </c>
    </row>
    <row r="824">
      <c r="K824" s="26" t="s">
        <v>461</v>
      </c>
      <c r="L824" s="26" t="s">
        <v>461</v>
      </c>
    </row>
    <row r="825">
      <c r="K825" s="26" t="s">
        <v>461</v>
      </c>
      <c r="L825" s="26" t="s">
        <v>461</v>
      </c>
    </row>
    <row r="826">
      <c r="K826" s="26" t="s">
        <v>461</v>
      </c>
      <c r="L826" s="26" t="s">
        <v>461</v>
      </c>
    </row>
    <row r="827">
      <c r="K827" s="26" t="s">
        <v>461</v>
      </c>
      <c r="L827" s="26" t="s">
        <v>461</v>
      </c>
    </row>
    <row r="828">
      <c r="K828" s="26" t="s">
        <v>461</v>
      </c>
      <c r="L828" s="26" t="s">
        <v>461</v>
      </c>
    </row>
    <row r="829">
      <c r="K829" s="26" t="s">
        <v>461</v>
      </c>
      <c r="L829" s="26" t="s">
        <v>461</v>
      </c>
    </row>
    <row r="830">
      <c r="K830" s="26" t="s">
        <v>461</v>
      </c>
      <c r="L830" s="26" t="s">
        <v>461</v>
      </c>
    </row>
    <row r="831">
      <c r="K831" s="26" t="s">
        <v>461</v>
      </c>
      <c r="L831" s="26" t="s">
        <v>461</v>
      </c>
    </row>
    <row r="832">
      <c r="K832" s="26" t="s">
        <v>461</v>
      </c>
      <c r="L832" s="26" t="s">
        <v>461</v>
      </c>
    </row>
    <row r="833">
      <c r="K833" s="26" t="s">
        <v>461</v>
      </c>
      <c r="L833" s="26" t="s">
        <v>461</v>
      </c>
    </row>
    <row r="834">
      <c r="K834" s="26" t="s">
        <v>461</v>
      </c>
      <c r="L834" s="26" t="s">
        <v>461</v>
      </c>
    </row>
    <row r="835">
      <c r="K835" s="26" t="s">
        <v>461</v>
      </c>
      <c r="L835" s="26" t="s">
        <v>461</v>
      </c>
    </row>
    <row r="836">
      <c r="K836" s="26" t="s">
        <v>461</v>
      </c>
      <c r="L836" s="26" t="s">
        <v>461</v>
      </c>
    </row>
    <row r="837">
      <c r="K837" s="26" t="s">
        <v>461</v>
      </c>
      <c r="L837" s="26" t="s">
        <v>461</v>
      </c>
    </row>
    <row r="838">
      <c r="K838" s="26" t="s">
        <v>461</v>
      </c>
      <c r="L838" s="26" t="s">
        <v>461</v>
      </c>
    </row>
    <row r="839">
      <c r="K839" s="26" t="s">
        <v>461</v>
      </c>
      <c r="L839" s="26" t="s">
        <v>461</v>
      </c>
    </row>
    <row r="840">
      <c r="K840" s="26" t="s">
        <v>461</v>
      </c>
      <c r="L840" s="26" t="s">
        <v>461</v>
      </c>
    </row>
    <row r="841">
      <c r="K841" s="26" t="s">
        <v>461</v>
      </c>
      <c r="L841" s="26" t="s">
        <v>461</v>
      </c>
    </row>
    <row r="842">
      <c r="K842" s="26" t="s">
        <v>461</v>
      </c>
      <c r="L842" s="26" t="s">
        <v>461</v>
      </c>
    </row>
    <row r="843">
      <c r="K843" s="26" t="s">
        <v>461</v>
      </c>
      <c r="L843" s="26" t="s">
        <v>461</v>
      </c>
    </row>
    <row r="844">
      <c r="K844" s="26" t="s">
        <v>461</v>
      </c>
      <c r="L844" s="26" t="s">
        <v>461</v>
      </c>
    </row>
    <row r="845">
      <c r="K845" s="26" t="s">
        <v>461</v>
      </c>
      <c r="L845" s="26" t="s">
        <v>461</v>
      </c>
    </row>
    <row r="846">
      <c r="K846" s="26" t="s">
        <v>461</v>
      </c>
      <c r="L846" s="26" t="s">
        <v>461</v>
      </c>
    </row>
    <row r="847">
      <c r="K847" s="26" t="s">
        <v>461</v>
      </c>
      <c r="L847" s="26" t="s">
        <v>461</v>
      </c>
    </row>
    <row r="848">
      <c r="K848" s="26" t="s">
        <v>461</v>
      </c>
      <c r="L848" s="26" t="s">
        <v>461</v>
      </c>
    </row>
    <row r="849">
      <c r="K849" s="26" t="s">
        <v>461</v>
      </c>
      <c r="L849" s="26" t="s">
        <v>461</v>
      </c>
    </row>
    <row r="850">
      <c r="K850" s="26" t="s">
        <v>461</v>
      </c>
      <c r="L850" s="26" t="s">
        <v>461</v>
      </c>
    </row>
    <row r="851">
      <c r="K851" s="26" t="s">
        <v>461</v>
      </c>
      <c r="L851" s="26" t="s">
        <v>461</v>
      </c>
    </row>
    <row r="852">
      <c r="K852" s="26" t="s">
        <v>461</v>
      </c>
      <c r="L852" s="26" t="s">
        <v>461</v>
      </c>
    </row>
    <row r="853">
      <c r="K853" s="26" t="s">
        <v>461</v>
      </c>
      <c r="L853" s="26" t="s">
        <v>461</v>
      </c>
    </row>
    <row r="854">
      <c r="K854" s="26" t="s">
        <v>461</v>
      </c>
      <c r="L854" s="26" t="s">
        <v>461</v>
      </c>
    </row>
    <row r="855">
      <c r="K855" s="26" t="s">
        <v>461</v>
      </c>
      <c r="L855" s="26" t="s">
        <v>461</v>
      </c>
    </row>
    <row r="856">
      <c r="K856" s="26" t="s">
        <v>461</v>
      </c>
      <c r="L856" s="26" t="s">
        <v>461</v>
      </c>
    </row>
    <row r="857">
      <c r="K857" s="26" t="s">
        <v>461</v>
      </c>
      <c r="L857" s="26" t="s">
        <v>461</v>
      </c>
    </row>
    <row r="858">
      <c r="K858" s="26" t="s">
        <v>461</v>
      </c>
      <c r="L858" s="26" t="s">
        <v>461</v>
      </c>
    </row>
    <row r="859">
      <c r="K859" s="26" t="s">
        <v>461</v>
      </c>
      <c r="L859" s="26" t="s">
        <v>461</v>
      </c>
    </row>
    <row r="860">
      <c r="K860" s="26" t="s">
        <v>461</v>
      </c>
      <c r="L860" s="26" t="s">
        <v>461</v>
      </c>
    </row>
    <row r="861">
      <c r="K861" s="26" t="s">
        <v>461</v>
      </c>
      <c r="L861" s="26" t="s">
        <v>461</v>
      </c>
    </row>
    <row r="862">
      <c r="K862" s="26" t="s">
        <v>461</v>
      </c>
      <c r="L862" s="26" t="s">
        <v>461</v>
      </c>
    </row>
    <row r="863">
      <c r="K863" s="26" t="s">
        <v>461</v>
      </c>
      <c r="L863" s="26" t="s">
        <v>461</v>
      </c>
    </row>
    <row r="864">
      <c r="K864" s="26" t="s">
        <v>461</v>
      </c>
      <c r="L864" s="26" t="s">
        <v>461</v>
      </c>
    </row>
    <row r="865">
      <c r="K865" s="26" t="s">
        <v>461</v>
      </c>
      <c r="L865" s="26" t="s">
        <v>461</v>
      </c>
    </row>
    <row r="866">
      <c r="K866" s="26" t="s">
        <v>461</v>
      </c>
      <c r="L866" s="26" t="s">
        <v>461</v>
      </c>
    </row>
    <row r="867">
      <c r="K867" s="26" t="s">
        <v>461</v>
      </c>
      <c r="L867" s="26" t="s">
        <v>461</v>
      </c>
    </row>
    <row r="868">
      <c r="K868" s="26" t="s">
        <v>461</v>
      </c>
      <c r="L868" s="26" t="s">
        <v>461</v>
      </c>
    </row>
    <row r="869">
      <c r="K869" s="26" t="s">
        <v>461</v>
      </c>
      <c r="L869" s="26" t="s">
        <v>461</v>
      </c>
    </row>
    <row r="870">
      <c r="K870" s="26" t="s">
        <v>461</v>
      </c>
      <c r="L870" s="26" t="s">
        <v>461</v>
      </c>
    </row>
    <row r="871">
      <c r="K871" s="26" t="s">
        <v>461</v>
      </c>
      <c r="L871" s="26" t="s">
        <v>461</v>
      </c>
    </row>
    <row r="872">
      <c r="K872" s="26" t="s">
        <v>461</v>
      </c>
      <c r="L872" s="26" t="s">
        <v>461</v>
      </c>
    </row>
    <row r="873">
      <c r="K873" s="26" t="s">
        <v>461</v>
      </c>
      <c r="L873" s="26" t="s">
        <v>461</v>
      </c>
    </row>
    <row r="874">
      <c r="K874" s="26" t="s">
        <v>461</v>
      </c>
      <c r="L874" s="26" t="s">
        <v>461</v>
      </c>
    </row>
    <row r="875">
      <c r="K875" s="26" t="s">
        <v>461</v>
      </c>
      <c r="L875" s="26" t="s">
        <v>461</v>
      </c>
    </row>
    <row r="876">
      <c r="K876" s="26" t="s">
        <v>461</v>
      </c>
      <c r="L876" s="26" t="s">
        <v>461</v>
      </c>
    </row>
    <row r="877">
      <c r="K877" s="26" t="s">
        <v>461</v>
      </c>
      <c r="L877" s="26" t="s">
        <v>461</v>
      </c>
    </row>
    <row r="878">
      <c r="K878" s="26" t="s">
        <v>461</v>
      </c>
      <c r="L878" s="26" t="s">
        <v>461</v>
      </c>
    </row>
    <row r="879">
      <c r="K879" s="26" t="s">
        <v>461</v>
      </c>
      <c r="L879" s="26" t="s">
        <v>461</v>
      </c>
    </row>
    <row r="880">
      <c r="K880" s="26" t="s">
        <v>461</v>
      </c>
      <c r="L880" s="26" t="s">
        <v>461</v>
      </c>
    </row>
    <row r="881">
      <c r="K881" s="26" t="s">
        <v>461</v>
      </c>
      <c r="L881" s="26" t="s">
        <v>461</v>
      </c>
    </row>
    <row r="882">
      <c r="K882" s="26" t="s">
        <v>461</v>
      </c>
      <c r="L882" s="26" t="s">
        <v>461</v>
      </c>
    </row>
    <row r="883">
      <c r="K883" s="26" t="s">
        <v>461</v>
      </c>
      <c r="L883" s="26" t="s">
        <v>461</v>
      </c>
    </row>
    <row r="884">
      <c r="K884" s="26" t="s">
        <v>461</v>
      </c>
      <c r="L884" s="26" t="s">
        <v>461</v>
      </c>
    </row>
    <row r="885">
      <c r="K885" s="26" t="s">
        <v>461</v>
      </c>
      <c r="L885" s="26" t="s">
        <v>461</v>
      </c>
    </row>
    <row r="886">
      <c r="K886" s="26" t="s">
        <v>461</v>
      </c>
      <c r="L886" s="26" t="s">
        <v>461</v>
      </c>
    </row>
    <row r="887">
      <c r="K887" s="26" t="s">
        <v>461</v>
      </c>
      <c r="L887" s="26" t="s">
        <v>461</v>
      </c>
    </row>
    <row r="888">
      <c r="K888" s="26" t="s">
        <v>461</v>
      </c>
      <c r="L888" s="26" t="s">
        <v>461</v>
      </c>
    </row>
    <row r="889">
      <c r="K889" s="26" t="s">
        <v>461</v>
      </c>
      <c r="L889" s="26" t="s">
        <v>461</v>
      </c>
    </row>
    <row r="890">
      <c r="K890" s="26" t="s">
        <v>461</v>
      </c>
      <c r="L890" s="26" t="s">
        <v>461</v>
      </c>
    </row>
    <row r="891">
      <c r="K891" s="26" t="s">
        <v>461</v>
      </c>
      <c r="L891" s="26" t="s">
        <v>461</v>
      </c>
    </row>
    <row r="892">
      <c r="K892" s="26" t="s">
        <v>461</v>
      </c>
      <c r="L892" s="26" t="s">
        <v>461</v>
      </c>
    </row>
    <row r="893">
      <c r="K893" s="26" t="s">
        <v>461</v>
      </c>
      <c r="L893" s="26" t="s">
        <v>461</v>
      </c>
    </row>
    <row r="894">
      <c r="K894" s="26" t="s">
        <v>461</v>
      </c>
      <c r="L894" s="26" t="s">
        <v>461</v>
      </c>
    </row>
    <row r="895">
      <c r="K895" s="26" t="s">
        <v>461</v>
      </c>
      <c r="L895" s="26" t="s">
        <v>461</v>
      </c>
    </row>
    <row r="896">
      <c r="K896" s="26" t="s">
        <v>461</v>
      </c>
      <c r="L896" s="26" t="s">
        <v>461</v>
      </c>
    </row>
    <row r="897">
      <c r="K897" s="26" t="s">
        <v>461</v>
      </c>
      <c r="L897" s="26" t="s">
        <v>461</v>
      </c>
    </row>
    <row r="898">
      <c r="K898" s="26" t="s">
        <v>461</v>
      </c>
      <c r="L898" s="26" t="s">
        <v>461</v>
      </c>
    </row>
    <row r="899">
      <c r="K899" s="26" t="s">
        <v>461</v>
      </c>
      <c r="L899" s="26" t="s">
        <v>461</v>
      </c>
    </row>
    <row r="900">
      <c r="K900" s="26" t="s">
        <v>461</v>
      </c>
      <c r="L900" s="26" t="s">
        <v>461</v>
      </c>
    </row>
    <row r="901">
      <c r="K901" s="26" t="s">
        <v>461</v>
      </c>
      <c r="L901" s="26" t="s">
        <v>461</v>
      </c>
    </row>
    <row r="902">
      <c r="K902" s="26" t="s">
        <v>461</v>
      </c>
      <c r="L902" s="26" t="s">
        <v>461</v>
      </c>
    </row>
    <row r="903">
      <c r="K903" s="26" t="s">
        <v>461</v>
      </c>
      <c r="L903" s="26" t="s">
        <v>461</v>
      </c>
    </row>
    <row r="904">
      <c r="K904" s="26" t="s">
        <v>461</v>
      </c>
      <c r="L904" s="26" t="s">
        <v>461</v>
      </c>
    </row>
    <row r="905">
      <c r="K905" s="26" t="s">
        <v>461</v>
      </c>
      <c r="L905" s="26" t="s">
        <v>461</v>
      </c>
    </row>
    <row r="906">
      <c r="K906" s="26" t="s">
        <v>461</v>
      </c>
      <c r="L906" s="26" t="s">
        <v>461</v>
      </c>
    </row>
    <row r="907">
      <c r="K907" s="26" t="s">
        <v>461</v>
      </c>
      <c r="L907" s="26" t="s">
        <v>461</v>
      </c>
    </row>
    <row r="908">
      <c r="K908" s="26" t="s">
        <v>461</v>
      </c>
      <c r="L908" s="26" t="s">
        <v>461</v>
      </c>
    </row>
    <row r="909">
      <c r="K909" s="26" t="s">
        <v>461</v>
      </c>
      <c r="L909" s="26" t="s">
        <v>461</v>
      </c>
    </row>
    <row r="910">
      <c r="K910" s="26" t="s">
        <v>461</v>
      </c>
      <c r="L910" s="26" t="s">
        <v>461</v>
      </c>
    </row>
    <row r="911">
      <c r="K911" s="26" t="s">
        <v>461</v>
      </c>
      <c r="L911" s="26" t="s">
        <v>461</v>
      </c>
    </row>
    <row r="912">
      <c r="K912" s="26" t="s">
        <v>461</v>
      </c>
      <c r="L912" s="26" t="s">
        <v>461</v>
      </c>
    </row>
    <row r="913">
      <c r="K913" s="26" t="s">
        <v>461</v>
      </c>
      <c r="L913" s="26" t="s">
        <v>461</v>
      </c>
    </row>
    <row r="914">
      <c r="K914" s="26" t="s">
        <v>461</v>
      </c>
      <c r="L914" s="26" t="s">
        <v>461</v>
      </c>
    </row>
    <row r="915">
      <c r="K915" s="26" t="s">
        <v>461</v>
      </c>
      <c r="L915" s="26" t="s">
        <v>461</v>
      </c>
    </row>
    <row r="916">
      <c r="K916" s="26" t="s">
        <v>461</v>
      </c>
      <c r="L916" s="26" t="s">
        <v>461</v>
      </c>
    </row>
    <row r="917">
      <c r="K917" s="26" t="s">
        <v>461</v>
      </c>
      <c r="L917" s="26" t="s">
        <v>461</v>
      </c>
    </row>
    <row r="918">
      <c r="K918" s="26" t="s">
        <v>461</v>
      </c>
      <c r="L918" s="26" t="s">
        <v>461</v>
      </c>
    </row>
    <row r="919">
      <c r="K919" s="26" t="s">
        <v>461</v>
      </c>
      <c r="L919" s="26" t="s">
        <v>461</v>
      </c>
    </row>
    <row r="920">
      <c r="K920" s="26" t="s">
        <v>461</v>
      </c>
      <c r="L920" s="26" t="s">
        <v>461</v>
      </c>
    </row>
    <row r="921">
      <c r="K921" s="26" t="s">
        <v>461</v>
      </c>
      <c r="L921" s="26" t="s">
        <v>461</v>
      </c>
    </row>
    <row r="922">
      <c r="K922" s="26" t="s">
        <v>461</v>
      </c>
      <c r="L922" s="26" t="s">
        <v>461</v>
      </c>
    </row>
    <row r="923">
      <c r="K923" s="26" t="s">
        <v>461</v>
      </c>
      <c r="L923" s="26" t="s">
        <v>461</v>
      </c>
    </row>
    <row r="924">
      <c r="K924" s="26" t="s">
        <v>461</v>
      </c>
      <c r="L924" s="26" t="s">
        <v>461</v>
      </c>
    </row>
    <row r="925">
      <c r="K925" s="26" t="s">
        <v>461</v>
      </c>
      <c r="L925" s="26" t="s">
        <v>461</v>
      </c>
    </row>
    <row r="926">
      <c r="K926" s="26" t="s">
        <v>461</v>
      </c>
      <c r="L926" s="26" t="s">
        <v>461</v>
      </c>
    </row>
    <row r="927">
      <c r="K927" s="26" t="s">
        <v>461</v>
      </c>
      <c r="L927" s="26" t="s">
        <v>461</v>
      </c>
    </row>
    <row r="928">
      <c r="K928" s="26" t="s">
        <v>461</v>
      </c>
      <c r="L928" s="26" t="s">
        <v>461</v>
      </c>
    </row>
    <row r="929">
      <c r="K929" s="26" t="s">
        <v>461</v>
      </c>
      <c r="L929" s="26" t="s">
        <v>461</v>
      </c>
    </row>
    <row r="930">
      <c r="K930" s="26" t="s">
        <v>461</v>
      </c>
      <c r="L930" s="26" t="s">
        <v>461</v>
      </c>
    </row>
    <row r="931">
      <c r="K931" s="26" t="s">
        <v>461</v>
      </c>
      <c r="L931" s="26" t="s">
        <v>461</v>
      </c>
    </row>
    <row r="932">
      <c r="K932" s="26" t="s">
        <v>461</v>
      </c>
      <c r="L932" s="26" t="s">
        <v>461</v>
      </c>
    </row>
    <row r="933">
      <c r="K933" s="26" t="s">
        <v>461</v>
      </c>
      <c r="L933" s="26" t="s">
        <v>461</v>
      </c>
    </row>
    <row r="934">
      <c r="K934" s="26" t="s">
        <v>461</v>
      </c>
      <c r="L934" s="26" t="s">
        <v>461</v>
      </c>
    </row>
    <row r="935">
      <c r="K935" s="26" t="s">
        <v>461</v>
      </c>
      <c r="L935" s="26" t="s">
        <v>461</v>
      </c>
    </row>
    <row r="936">
      <c r="K936" s="26" t="s">
        <v>461</v>
      </c>
      <c r="L936" s="26" t="s">
        <v>461</v>
      </c>
    </row>
    <row r="937">
      <c r="K937" s="26" t="s">
        <v>461</v>
      </c>
      <c r="L937" s="26" t="s">
        <v>461</v>
      </c>
    </row>
    <row r="938">
      <c r="K938" s="26" t="s">
        <v>461</v>
      </c>
      <c r="L938" s="26" t="s">
        <v>461</v>
      </c>
    </row>
    <row r="939">
      <c r="K939" s="26" t="s">
        <v>461</v>
      </c>
      <c r="L939" s="26" t="s">
        <v>461</v>
      </c>
    </row>
    <row r="940">
      <c r="K940" s="26" t="s">
        <v>461</v>
      </c>
      <c r="L940" s="26" t="s">
        <v>461</v>
      </c>
    </row>
    <row r="941">
      <c r="K941" s="26" t="s">
        <v>461</v>
      </c>
      <c r="L941" s="26" t="s">
        <v>461</v>
      </c>
    </row>
    <row r="942">
      <c r="K942" s="26" t="s">
        <v>461</v>
      </c>
      <c r="L942" s="26" t="s">
        <v>461</v>
      </c>
    </row>
    <row r="943">
      <c r="K943" s="26" t="s">
        <v>461</v>
      </c>
      <c r="L943" s="26" t="s">
        <v>461</v>
      </c>
    </row>
    <row r="944">
      <c r="K944" s="26" t="s">
        <v>461</v>
      </c>
      <c r="L944" s="26" t="s">
        <v>461</v>
      </c>
    </row>
    <row r="945">
      <c r="K945" s="26" t="s">
        <v>461</v>
      </c>
      <c r="L945" s="26" t="s">
        <v>461</v>
      </c>
    </row>
    <row r="946">
      <c r="K946" s="26" t="s">
        <v>461</v>
      </c>
      <c r="L946" s="26" t="s">
        <v>461</v>
      </c>
    </row>
    <row r="947">
      <c r="K947" s="26" t="s">
        <v>461</v>
      </c>
      <c r="L947" s="26" t="s">
        <v>461</v>
      </c>
    </row>
    <row r="948">
      <c r="K948" s="26" t="s">
        <v>461</v>
      </c>
      <c r="L948" s="26" t="s">
        <v>461</v>
      </c>
    </row>
    <row r="949">
      <c r="K949" s="26" t="s">
        <v>461</v>
      </c>
      <c r="L949" s="26" t="s">
        <v>461</v>
      </c>
    </row>
    <row r="950">
      <c r="K950" s="26" t="s">
        <v>461</v>
      </c>
      <c r="L950" s="26" t="s">
        <v>461</v>
      </c>
    </row>
    <row r="951">
      <c r="K951" s="26" t="s">
        <v>461</v>
      </c>
      <c r="L951" s="26" t="s">
        <v>461</v>
      </c>
    </row>
    <row r="952">
      <c r="K952" s="26" t="s">
        <v>461</v>
      </c>
      <c r="L952" s="26" t="s">
        <v>461</v>
      </c>
    </row>
    <row r="953">
      <c r="K953" s="26" t="s">
        <v>461</v>
      </c>
      <c r="L953" s="26" t="s">
        <v>461</v>
      </c>
    </row>
    <row r="954">
      <c r="K954" s="26" t="s">
        <v>461</v>
      </c>
      <c r="L954" s="26" t="s">
        <v>461</v>
      </c>
    </row>
    <row r="955">
      <c r="K955" s="26" t="s">
        <v>461</v>
      </c>
      <c r="L955" s="26" t="s">
        <v>461</v>
      </c>
    </row>
    <row r="956">
      <c r="K956" s="26" t="s">
        <v>461</v>
      </c>
      <c r="L956" s="26" t="s">
        <v>461</v>
      </c>
    </row>
    <row r="957">
      <c r="K957" s="26" t="s">
        <v>461</v>
      </c>
      <c r="L957" s="26" t="s">
        <v>461</v>
      </c>
    </row>
    <row r="958">
      <c r="K958" s="26" t="s">
        <v>461</v>
      </c>
      <c r="L958" s="26" t="s">
        <v>461</v>
      </c>
    </row>
    <row r="959">
      <c r="K959" s="26" t="s">
        <v>461</v>
      </c>
      <c r="L959" s="26" t="s">
        <v>461</v>
      </c>
    </row>
    <row r="960">
      <c r="K960" s="26" t="s">
        <v>461</v>
      </c>
      <c r="L960" s="26" t="s">
        <v>461</v>
      </c>
    </row>
    <row r="961">
      <c r="K961" s="26" t="s">
        <v>461</v>
      </c>
      <c r="L961" s="26" t="s">
        <v>461</v>
      </c>
    </row>
    <row r="962">
      <c r="K962" s="26" t="s">
        <v>461</v>
      </c>
      <c r="L962" s="26" t="s">
        <v>461</v>
      </c>
    </row>
    <row r="963">
      <c r="K963" s="26" t="s">
        <v>461</v>
      </c>
      <c r="L963" s="26" t="s">
        <v>461</v>
      </c>
    </row>
    <row r="964">
      <c r="K964" s="26" t="s">
        <v>461</v>
      </c>
      <c r="L964" s="26" t="s">
        <v>461</v>
      </c>
    </row>
    <row r="965">
      <c r="K965" s="26" t="s">
        <v>461</v>
      </c>
      <c r="L965" s="26" t="s">
        <v>461</v>
      </c>
    </row>
    <row r="966">
      <c r="K966" s="26" t="s">
        <v>461</v>
      </c>
      <c r="L966" s="26" t="s">
        <v>461</v>
      </c>
    </row>
    <row r="967">
      <c r="K967" s="26" t="s">
        <v>461</v>
      </c>
      <c r="L967" s="26" t="s">
        <v>461</v>
      </c>
    </row>
    <row r="968">
      <c r="K968" s="26" t="s">
        <v>461</v>
      </c>
      <c r="L968" s="26" t="s">
        <v>461</v>
      </c>
    </row>
    <row r="969">
      <c r="K969" s="26" t="s">
        <v>461</v>
      </c>
      <c r="L969" s="26" t="s">
        <v>461</v>
      </c>
    </row>
    <row r="970">
      <c r="K970" s="26" t="s">
        <v>461</v>
      </c>
      <c r="L970" s="26" t="s">
        <v>461</v>
      </c>
    </row>
    <row r="971">
      <c r="K971" s="26" t="s">
        <v>461</v>
      </c>
      <c r="L971" s="26" t="s">
        <v>461</v>
      </c>
    </row>
    <row r="972">
      <c r="K972" s="26" t="s">
        <v>461</v>
      </c>
      <c r="L972" s="26" t="s">
        <v>461</v>
      </c>
    </row>
    <row r="973">
      <c r="K973" s="26" t="s">
        <v>461</v>
      </c>
      <c r="L973" s="26" t="s">
        <v>461</v>
      </c>
    </row>
    <row r="974">
      <c r="K974" s="26" t="s">
        <v>461</v>
      </c>
      <c r="L974" s="26" t="s">
        <v>461</v>
      </c>
    </row>
    <row r="975">
      <c r="K975" s="26" t="s">
        <v>461</v>
      </c>
      <c r="L975" s="26" t="s">
        <v>461</v>
      </c>
    </row>
    <row r="976">
      <c r="K976" s="26" t="s">
        <v>461</v>
      </c>
      <c r="L976" s="26" t="s">
        <v>461</v>
      </c>
    </row>
    <row r="977">
      <c r="K977" s="26" t="s">
        <v>461</v>
      </c>
      <c r="L977" s="26" t="s">
        <v>461</v>
      </c>
    </row>
    <row r="978">
      <c r="K978" s="26" t="s">
        <v>461</v>
      </c>
      <c r="L978" s="26" t="s">
        <v>461</v>
      </c>
    </row>
    <row r="979">
      <c r="K979" s="26" t="s">
        <v>461</v>
      </c>
      <c r="L979" s="26" t="s">
        <v>461</v>
      </c>
    </row>
    <row r="980">
      <c r="K980" s="26" t="s">
        <v>461</v>
      </c>
      <c r="L980" s="26" t="s">
        <v>461</v>
      </c>
    </row>
    <row r="981">
      <c r="K981" s="26" t="s">
        <v>461</v>
      </c>
      <c r="L981" s="26" t="s">
        <v>461</v>
      </c>
    </row>
    <row r="982">
      <c r="K982" s="26" t="s">
        <v>461</v>
      </c>
      <c r="L982" s="26" t="s">
        <v>461</v>
      </c>
    </row>
    <row r="983">
      <c r="K983" s="26" t="s">
        <v>461</v>
      </c>
      <c r="L983" s="26" t="s">
        <v>461</v>
      </c>
    </row>
    <row r="984">
      <c r="K984" s="26" t="s">
        <v>461</v>
      </c>
      <c r="L984" s="26" t="s">
        <v>461</v>
      </c>
    </row>
    <row r="985">
      <c r="K985" s="26" t="s">
        <v>461</v>
      </c>
      <c r="L985" s="26" t="s">
        <v>461</v>
      </c>
    </row>
    <row r="986">
      <c r="K986" s="26" t="s">
        <v>461</v>
      </c>
      <c r="L986" s="26" t="s">
        <v>461</v>
      </c>
    </row>
    <row r="987">
      <c r="K987" s="26" t="s">
        <v>461</v>
      </c>
      <c r="L987" s="26" t="s">
        <v>461</v>
      </c>
    </row>
    <row r="988">
      <c r="K988" s="26" t="s">
        <v>461</v>
      </c>
      <c r="L988" s="26" t="s">
        <v>461</v>
      </c>
    </row>
    <row r="989">
      <c r="K989" s="26" t="s">
        <v>461</v>
      </c>
      <c r="L989" s="26" t="s">
        <v>461</v>
      </c>
    </row>
    <row r="990">
      <c r="K990" s="26" t="s">
        <v>461</v>
      </c>
      <c r="L990" s="26" t="s">
        <v>461</v>
      </c>
    </row>
    <row r="991">
      <c r="K991" s="26" t="s">
        <v>461</v>
      </c>
      <c r="L991" s="26" t="s">
        <v>461</v>
      </c>
    </row>
    <row r="992">
      <c r="K992" s="26" t="s">
        <v>461</v>
      </c>
      <c r="L992" s="26" t="s">
        <v>461</v>
      </c>
    </row>
    <row r="993">
      <c r="K993" s="26" t="s">
        <v>461</v>
      </c>
      <c r="L993" s="26" t="s">
        <v>461</v>
      </c>
    </row>
    <row r="994">
      <c r="K994" s="26" t="s">
        <v>461</v>
      </c>
      <c r="L994" s="26" t="s">
        <v>461</v>
      </c>
    </row>
    <row r="995">
      <c r="K995" s="26" t="s">
        <v>461</v>
      </c>
      <c r="L995" s="26" t="s">
        <v>461</v>
      </c>
    </row>
    <row r="996">
      <c r="K996" s="26" t="s">
        <v>461</v>
      </c>
      <c r="L996" s="26" t="s">
        <v>461</v>
      </c>
    </row>
    <row r="997">
      <c r="K997" s="26" t="s">
        <v>461</v>
      </c>
      <c r="L997" s="26" t="s">
        <v>461</v>
      </c>
    </row>
    <row r="998">
      <c r="K998" s="26" t="s">
        <v>461</v>
      </c>
      <c r="L998" s="26" t="s">
        <v>461</v>
      </c>
    </row>
    <row r="999">
      <c r="K999" s="26" t="s">
        <v>461</v>
      </c>
      <c r="L999" s="26" t="s">
        <v>461</v>
      </c>
    </row>
    <row r="1000">
      <c r="K1000" s="26" t="s">
        <v>461</v>
      </c>
      <c r="L1000" s="26" t="s">
        <v>461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5" width="18.5"/>
  </cols>
  <sheetData>
    <row r="1">
      <c r="A1" s="30" t="s">
        <v>462</v>
      </c>
      <c r="B1" s="30" t="s">
        <v>0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1" t="s">
        <v>8</v>
      </c>
      <c r="K1" s="32" t="s">
        <v>463</v>
      </c>
      <c r="L1" s="32" t="s">
        <v>464</v>
      </c>
      <c r="M1" s="32" t="s">
        <v>465</v>
      </c>
      <c r="N1" s="32" t="s">
        <v>466</v>
      </c>
      <c r="O1" s="32" t="s">
        <v>467</v>
      </c>
      <c r="P1" s="33" t="s">
        <v>468</v>
      </c>
    </row>
    <row r="2">
      <c r="A2" s="4" t="s">
        <v>183</v>
      </c>
      <c r="B2" s="34">
        <v>1620922.4391001</v>
      </c>
      <c r="C2" s="35">
        <v>2467.9</v>
      </c>
      <c r="D2" s="35">
        <v>25.09</v>
      </c>
      <c r="E2" s="35">
        <v>2856.15</v>
      </c>
      <c r="F2" s="36">
        <v>0.1359347373212191</v>
      </c>
      <c r="G2" s="35">
        <v>2180.0</v>
      </c>
      <c r="H2" s="36">
        <v>0.1320642201834863</v>
      </c>
      <c r="I2" s="35">
        <v>2471.6</v>
      </c>
      <c r="J2" s="36">
        <v>-0.0014970059880238785</v>
      </c>
      <c r="K2" s="37" t="str">
        <f t="array" ref="K2:K2000">if(A2:A2000&lt;&gt;"",VLOOKUP(A2:A2000,'NSEBSE Code'!A4:C219,2,0),"")</f>
        <v>Telecom and oil</v>
      </c>
      <c r="L2" s="37" t="str">
        <f t="array" ref="L2:L2000">IF(A2:A2000&lt;&gt;"", VLOOKUP(A2:A2000,'NSEBSE Code'!A4:C219,3,0),"")</f>
        <v>RELIANCE</v>
      </c>
      <c r="M2" s="38" t="str">
        <f t="array" ref="M2">IF(F2&gt;30%,"YES","NO")</f>
        <v>NO</v>
      </c>
      <c r="N2" s="39" t="str">
        <f t="array" ref="N2">IF(H2&lt;30%,"YES","NO")</f>
        <v>YES</v>
      </c>
      <c r="O2" s="37" t="str">
        <f t="array" ref="O2"> if(AND(D2&lt;65,M2="NO",N2="NO"),"GOOD STOCK","")</f>
        <v/>
      </c>
      <c r="P2" s="40" t="str">
        <f t="array" ref="P2"> ifs((B2/$B$2)*100&gt;=60,"Large cap stocks",and((B2/$B$2)*100&lt;60,(B2/$B$2)*100&gt;40),"Medium cap stocks",(B2/$B$2)*100&lt;40,"Small cap stocks")</f>
        <v>Large cap stocks</v>
      </c>
    </row>
    <row r="3">
      <c r="A3" s="4" t="s">
        <v>9</v>
      </c>
      <c r="B3" s="41">
        <v>1234544.5174748</v>
      </c>
      <c r="C3" s="42">
        <v>3374.2</v>
      </c>
      <c r="D3" s="43">
        <v>30.43</v>
      </c>
      <c r="E3" s="43">
        <v>4045.5</v>
      </c>
      <c r="F3" s="44">
        <v>0.1659374613768385</v>
      </c>
      <c r="G3" s="43">
        <v>2926.0</v>
      </c>
      <c r="H3" s="44">
        <v>0.15317840054682152</v>
      </c>
      <c r="I3" s="43">
        <v>3334.6</v>
      </c>
      <c r="J3" s="44">
        <v>0.01187548731482034</v>
      </c>
      <c r="K3" s="45" t="s">
        <v>233</v>
      </c>
      <c r="L3" s="45" t="s">
        <v>234</v>
      </c>
      <c r="M3" s="38" t="str">
        <f t="array" ref="M3">IF(F3&gt;30%,"YES","NO")</f>
        <v>NO</v>
      </c>
      <c r="N3" s="39" t="str">
        <f t="array" ref="N3">IF(H3&lt;30%,"YES","NO")</f>
        <v>YES</v>
      </c>
      <c r="O3" s="45" t="str">
        <f t="array" ref="O3"> if(AND(D3&lt;65,M3="NO",N3="NO"),"GOOD STOCK","")</f>
        <v/>
      </c>
      <c r="P3" s="40" t="str">
        <f t="array" ref="P3"> ifs((B3/$B$2)*100&gt;=60,"Large cap stocks",and((B3/$B$2)*100&lt;60,(B3/$B$2)*100&gt;40),"Medium cap stocks",(B3/$B$2)*100&lt;40,"Small cap stocks")</f>
        <v>Large cap stocks</v>
      </c>
    </row>
    <row r="4">
      <c r="A4" s="4" t="s">
        <v>10</v>
      </c>
      <c r="B4" s="34">
        <v>616301.326875</v>
      </c>
      <c r="C4" s="35">
        <v>2620.6</v>
      </c>
      <c r="D4" s="35">
        <v>63.81</v>
      </c>
      <c r="E4" s="35">
        <v>2741.6</v>
      </c>
      <c r="F4" s="36">
        <v>0.0441348117887365</v>
      </c>
      <c r="G4" s="35">
        <v>1901.55</v>
      </c>
      <c r="H4" s="36">
        <v>0.37813888669769397</v>
      </c>
      <c r="I4" s="35">
        <v>2590.05</v>
      </c>
      <c r="J4" s="36">
        <v>0.011795139089978852</v>
      </c>
      <c r="K4" s="37" t="s">
        <v>235</v>
      </c>
      <c r="L4" s="37" t="s">
        <v>236</v>
      </c>
      <c r="M4" s="38" t="str">
        <f t="array" ref="M4">IF(F4&gt;30%,"YES","NO")</f>
        <v>NO</v>
      </c>
      <c r="N4" s="39" t="str">
        <f t="array" ref="N4">IF(H4&lt;30%,"YES","NO")</f>
        <v>NO</v>
      </c>
      <c r="O4" s="37" t="str">
        <f t="array" ref="O4"> if(AND(D4&lt;65,M4="NO",N4="NO"),"GOOD STOCK","")</f>
        <v>GOOD STOCK</v>
      </c>
      <c r="P4" s="40" t="str">
        <f t="array" ref="P4"> ifs((B4/$B$2)*100&gt;=60,"Large cap stocks",and((B4/$B$2)*100&lt;60,(B4/$B$2)*100&gt;40),"Medium cap stocks",(B4/$B$2)*100&lt;40,"Small cap stocks")</f>
        <v>Small cap stocks</v>
      </c>
    </row>
    <row r="5">
      <c r="A5" s="4" t="s">
        <v>179</v>
      </c>
      <c r="B5" s="41">
        <v>535431.3246675</v>
      </c>
      <c r="C5" s="43">
        <v>600.05</v>
      </c>
      <c r="D5" s="43">
        <v>13.0</v>
      </c>
      <c r="E5" s="43">
        <v>629.65</v>
      </c>
      <c r="F5" s="44">
        <v>0.047010243786230484</v>
      </c>
      <c r="G5" s="43">
        <v>425.0</v>
      </c>
      <c r="H5" s="44">
        <v>0.41188235294117637</v>
      </c>
      <c r="I5" s="43">
        <v>595.0</v>
      </c>
      <c r="J5" s="44">
        <v>0.008487394957983117</v>
      </c>
      <c r="K5" s="45" t="s">
        <v>237</v>
      </c>
      <c r="L5" s="45" t="s">
        <v>238</v>
      </c>
      <c r="M5" s="38" t="str">
        <f t="array" ref="M5">IF(F5&gt;30%,"YES","NO")</f>
        <v>NO</v>
      </c>
      <c r="N5" s="39" t="str">
        <f t="array" ref="N5">IF(H5&lt;30%,"YES","NO")</f>
        <v>NO</v>
      </c>
      <c r="O5" s="45" t="str">
        <f t="array" ref="O5"> if(AND(D5&lt;65,M5="NO",N5="NO"),"GOOD STOCK","")</f>
        <v>GOOD STOCK</v>
      </c>
      <c r="P5" s="40" t="str">
        <f t="array" ref="P5"> ifs((B5/$B$2)*100&gt;=60,"Large cap stocks",and((B5/$B$2)*100&lt;60,(B5/$B$2)*100&gt;40),"Medium cap stocks",(B5/$B$2)*100&lt;40,"Small cap stocks")</f>
        <v>Small cap stocks</v>
      </c>
    </row>
    <row r="6">
      <c r="A6" s="4" t="s">
        <v>211</v>
      </c>
      <c r="B6" s="34">
        <v>478914.7</v>
      </c>
      <c r="C6" s="35">
        <v>2619.25</v>
      </c>
      <c r="D6" s="35">
        <v>19.81</v>
      </c>
      <c r="E6" s="35">
        <v>2933.8</v>
      </c>
      <c r="F6" s="36">
        <v>0.10721589747085697</v>
      </c>
      <c r="G6" s="35">
        <v>2026.0</v>
      </c>
      <c r="H6" s="36">
        <v>0.2928183613030602</v>
      </c>
      <c r="I6" s="35">
        <v>2612.8</v>
      </c>
      <c r="J6" s="36">
        <v>0.002468616044090561</v>
      </c>
      <c r="K6" s="37" t="s">
        <v>239</v>
      </c>
      <c r="L6" s="37" t="s">
        <v>211</v>
      </c>
      <c r="M6" s="38" t="str">
        <f t="array" ref="M6">IF(F6&gt;30%,"YES","NO")</f>
        <v>NO</v>
      </c>
      <c r="N6" s="39" t="str">
        <f t="array" ref="N6">IF(H6&lt;30%,"YES","NO")</f>
        <v>YES</v>
      </c>
      <c r="O6" s="37" t="str">
        <f t="array" ref="O6"> if(AND(D6&lt;65,M6="NO",N6="NO"),"GOOD STOCK","")</f>
        <v/>
      </c>
      <c r="P6" s="40" t="str">
        <f t="array" ref="P6"> ifs((B6/$B$2)*100&gt;=60,"Large cap stocks",and((B6/$B$2)*100&lt;60,(B6/$B$2)*100&gt;40),"Medium cap stocks",(B6/$B$2)*100&lt;40,"Small cap stocks")</f>
        <v>Small cap stocks</v>
      </c>
    </row>
    <row r="7" hidden="1">
      <c r="A7" s="4" t="s">
        <v>14</v>
      </c>
      <c r="B7" s="41">
        <v>291770.1146186</v>
      </c>
      <c r="C7" s="43">
        <v>1077.0</v>
      </c>
      <c r="D7" s="46" t="s">
        <v>15</v>
      </c>
      <c r="E7" s="43">
        <v>1359.4</v>
      </c>
      <c r="F7" s="44">
        <v>0.20773870825364135</v>
      </c>
      <c r="G7" s="43">
        <v>877.35</v>
      </c>
      <c r="H7" s="44">
        <v>0.22756026671225849</v>
      </c>
      <c r="I7" s="43">
        <v>1071.65</v>
      </c>
      <c r="J7" s="44">
        <v>0.00499230159100444</v>
      </c>
      <c r="K7" s="45" t="s">
        <v>233</v>
      </c>
      <c r="L7" s="45" t="s">
        <v>469</v>
      </c>
      <c r="M7" s="45"/>
      <c r="N7" s="45"/>
      <c r="O7" s="47" t="str">
        <f>IF(AND(D7&lt;65,M8&lt;&gt;"NO",N8&lt;&gt;"NO"),"GOOD STACK","")</f>
        <v/>
      </c>
      <c r="P7" s="48"/>
    </row>
    <row r="8">
      <c r="A8" s="4" t="s">
        <v>226</v>
      </c>
      <c r="B8" s="34">
        <v>450686.7570293</v>
      </c>
      <c r="C8" s="35">
        <v>712.7</v>
      </c>
      <c r="D8" s="35">
        <v>23.63</v>
      </c>
      <c r="E8" s="35">
        <v>920.0</v>
      </c>
      <c r="F8" s="36">
        <v>0.22532608695652168</v>
      </c>
      <c r="G8" s="35">
        <v>588.0</v>
      </c>
      <c r="H8" s="36">
        <v>0.21207482993197288</v>
      </c>
      <c r="I8" s="35">
        <v>705.55</v>
      </c>
      <c r="J8" s="36">
        <v>0.01013393806250456</v>
      </c>
      <c r="K8" s="37" t="s">
        <v>240</v>
      </c>
      <c r="L8" s="37" t="s">
        <v>241</v>
      </c>
      <c r="M8" s="38" t="str">
        <f t="array" ref="M8">IF(F8&gt;30%,"YES","NO")</f>
        <v>NO</v>
      </c>
      <c r="N8" s="39" t="str">
        <f t="array" ref="N8">IF(H8&lt;30%,"YES","NO")</f>
        <v>YES</v>
      </c>
      <c r="O8" s="37" t="str">
        <f>if(AND(D8&lt;65,M8="NO",N8="NO"),"GOOD STOCK","")</f>
        <v/>
      </c>
      <c r="P8" s="40" t="str">
        <f t="array" ref="P8"> ifs((B8/$B$2)*100&gt;=60,"Large cap stocks",and((B8/$B$2)*100&lt;60,(B8/$B$2)*100&gt;40),"Medium cap stocks",(B8/$B$2)*100&lt;40,"Small cap stocks")</f>
        <v>Small cap stocks</v>
      </c>
    </row>
    <row r="9" hidden="1">
      <c r="A9" s="4" t="s">
        <v>17</v>
      </c>
      <c r="B9" s="41">
        <v>250157.9350853</v>
      </c>
      <c r="C9" s="43">
        <v>3855.0</v>
      </c>
      <c r="D9" s="43">
        <v>109.05</v>
      </c>
      <c r="E9" s="43">
        <v>4609.0</v>
      </c>
      <c r="F9" s="44">
        <v>0.16359297027554784</v>
      </c>
      <c r="G9" s="43">
        <v>3186.0</v>
      </c>
      <c r="H9" s="44">
        <v>0.20998116760828625</v>
      </c>
      <c r="I9" s="43">
        <v>3911.8</v>
      </c>
      <c r="J9" s="44">
        <v>-0.014520169742829435</v>
      </c>
      <c r="K9" s="45" t="s">
        <v>257</v>
      </c>
      <c r="L9" s="45" t="s">
        <v>470</v>
      </c>
      <c r="M9" s="45"/>
      <c r="N9" s="45"/>
      <c r="O9" s="47" t="str">
        <f>IF(AND(D9&lt;65,M10&lt;&gt;"NO",N10&lt;&gt;"NO"),"GOOD STACK","")</f>
        <v/>
      </c>
      <c r="P9" s="48"/>
    </row>
    <row r="10">
      <c r="A10" s="4" t="s">
        <v>11</v>
      </c>
      <c r="B10" s="34">
        <v>441027.3972459</v>
      </c>
      <c r="C10" s="35">
        <v>764.6</v>
      </c>
      <c r="D10" s="35">
        <v>65.86</v>
      </c>
      <c r="E10" s="35">
        <v>860.55</v>
      </c>
      <c r="F10" s="36">
        <v>0.11149846028702566</v>
      </c>
      <c r="G10" s="35">
        <v>628.75</v>
      </c>
      <c r="H10" s="36">
        <v>0.2160636182902585</v>
      </c>
      <c r="I10" s="35">
        <v>756.9</v>
      </c>
      <c r="J10" s="36">
        <v>0.010173074382349117</v>
      </c>
      <c r="K10" s="37" t="s">
        <v>242</v>
      </c>
      <c r="L10" s="37" t="s">
        <v>243</v>
      </c>
      <c r="M10" s="38" t="str">
        <f t="array" ref="M10">IF(F10&gt;30%,"YES","NO")</f>
        <v>NO</v>
      </c>
      <c r="N10" s="39" t="str">
        <f t="array" ref="N10">IF(H10&lt;30%,"YES","NO")</f>
        <v>YES</v>
      </c>
      <c r="O10" s="37" t="str">
        <f t="shared" ref="O10:O28" si="1">if(AND(D10&lt;65,M10="NO",N10="NO"),"GOOD STOCK","")</f>
        <v/>
      </c>
      <c r="P10" s="40" t="str">
        <f t="array" ref="P10"> ifs((B10/$B$2)*100&gt;=60,"Large cap stocks",and((B10/$B$2)*100&lt;60,(B10/$B$2)*100&gt;40),"Medium cap stocks",(B10/$B$2)*100&lt;40,"Small cap stocks")</f>
        <v>Small cap stocks</v>
      </c>
    </row>
    <row r="11">
      <c r="A11" s="4" t="s">
        <v>12</v>
      </c>
      <c r="B11" s="41">
        <v>361172.6351402</v>
      </c>
      <c r="C11" s="43">
        <v>5977.0</v>
      </c>
      <c r="D11" s="43">
        <v>36.52</v>
      </c>
      <c r="E11" s="43">
        <v>8045.0</v>
      </c>
      <c r="F11" s="44">
        <v>0.25705407085146054</v>
      </c>
      <c r="G11" s="43">
        <v>5220.0</v>
      </c>
      <c r="H11" s="44">
        <v>0.1450191570881226</v>
      </c>
      <c r="I11" s="43">
        <v>5898.4</v>
      </c>
      <c r="J11" s="44">
        <v>0.013325647633256539</v>
      </c>
      <c r="K11" s="45" t="s">
        <v>244</v>
      </c>
      <c r="L11" s="45" t="s">
        <v>245</v>
      </c>
      <c r="M11" s="38" t="str">
        <f t="array" ref="M11">IF(F11&gt;30%,"YES","NO")</f>
        <v>NO</v>
      </c>
      <c r="N11" s="39" t="str">
        <f t="array" ref="N11">IF(H11&lt;30%,"YES","NO")</f>
        <v>YES</v>
      </c>
      <c r="O11" s="45" t="str">
        <f t="shared" si="1"/>
        <v/>
      </c>
      <c r="P11" s="40" t="str">
        <f t="array" ref="P11"> ifs((B11/$B$2)*100&gt;=60,"Large cap stocks",and((B11/$B$2)*100&lt;60,(B11/$B$2)*100&gt;40),"Medium cap stocks",(B11/$B$2)*100&lt;40,"Small cap stocks")</f>
        <v>Small cap stocks</v>
      </c>
    </row>
    <row r="12">
      <c r="A12" s="4" t="s">
        <v>215</v>
      </c>
      <c r="B12" s="34">
        <v>354002.5359556</v>
      </c>
      <c r="C12" s="35">
        <v>1780.5</v>
      </c>
      <c r="D12" s="35">
        <v>25.87</v>
      </c>
      <c r="E12" s="35">
        <v>1997.55</v>
      </c>
      <c r="F12" s="36">
        <v>0.10865810618007056</v>
      </c>
      <c r="G12" s="35">
        <v>1631.0</v>
      </c>
      <c r="H12" s="36">
        <v>0.09166155732679337</v>
      </c>
      <c r="I12" s="35">
        <v>1779.5</v>
      </c>
      <c r="J12" s="36">
        <v>5.61955605507165E-4</v>
      </c>
      <c r="K12" s="37" t="s">
        <v>237</v>
      </c>
      <c r="L12" s="37" t="s">
        <v>246</v>
      </c>
      <c r="M12" s="38" t="str">
        <f t="array" ref="M12">IF(F12&gt;30%,"YES","NO")</f>
        <v>NO</v>
      </c>
      <c r="N12" s="39" t="str">
        <f t="array" ref="N12">IF(H12&lt;30%,"YES","NO")</f>
        <v>YES</v>
      </c>
      <c r="O12" s="37" t="str">
        <f t="shared" si="1"/>
        <v/>
      </c>
      <c r="P12" s="40" t="str">
        <f t="array" ref="P12"> ifs((B12/$B$2)*100&gt;=60,"Large cap stocks",and((B12/$B$2)*100&lt;60,(B12/$B$2)*100&gt;40),"Medium cap stocks",(B12/$B$2)*100&lt;40,"Small cap stocks")</f>
        <v>Small cap stocks</v>
      </c>
    </row>
    <row r="13">
      <c r="A13" s="4" t="s">
        <v>18</v>
      </c>
      <c r="B13" s="41">
        <v>302617.166625</v>
      </c>
      <c r="C13" s="43">
        <v>2153.75</v>
      </c>
      <c r="D13" s="43">
        <v>31.53</v>
      </c>
      <c r="E13" s="43">
        <v>2210.5</v>
      </c>
      <c r="F13" s="44">
        <v>0.025672924677674736</v>
      </c>
      <c r="G13" s="43">
        <v>1456.8</v>
      </c>
      <c r="H13" s="44">
        <v>0.4784115870400879</v>
      </c>
      <c r="I13" s="43">
        <v>2160.2</v>
      </c>
      <c r="J13" s="44">
        <v>-0.0029858346449401995</v>
      </c>
      <c r="K13" s="45" t="s">
        <v>247</v>
      </c>
      <c r="L13" s="45" t="s">
        <v>248</v>
      </c>
      <c r="M13" s="38" t="str">
        <f t="array" ref="M13">IF(F13&gt;30%,"YES","NO")</f>
        <v>NO</v>
      </c>
      <c r="N13" s="39" t="str">
        <f t="array" ref="N13">IF(H13&lt;30%,"YES","NO")</f>
        <v>NO</v>
      </c>
      <c r="O13" s="45" t="str">
        <f t="shared" si="1"/>
        <v>GOOD STOCK</v>
      </c>
      <c r="P13" s="40" t="str">
        <f t="array" ref="P13"> ifs((B13/$B$2)*100&gt;=60,"Large cap stocks",and((B13/$B$2)*100&lt;60,(B13/$B$2)*100&gt;40),"Medium cap stocks",(B13/$B$2)*100&lt;40,"Small cap stocks")</f>
        <v>Small cap stocks</v>
      </c>
    </row>
    <row r="14">
      <c r="A14" s="4" t="s">
        <v>177</v>
      </c>
      <c r="B14" s="34">
        <v>287213.2945283</v>
      </c>
      <c r="C14" s="35">
        <v>933.9</v>
      </c>
      <c r="D14" s="35">
        <v>15.67</v>
      </c>
      <c r="E14" s="35">
        <v>970.0</v>
      </c>
      <c r="F14" s="36">
        <v>0.03721649484536085</v>
      </c>
      <c r="G14" s="35">
        <v>618.25</v>
      </c>
      <c r="H14" s="36">
        <v>0.5105539830165791</v>
      </c>
      <c r="I14" s="35">
        <v>935.55</v>
      </c>
      <c r="J14" s="36">
        <v>-0.0017636684303350728</v>
      </c>
      <c r="K14" s="37" t="s">
        <v>237</v>
      </c>
      <c r="L14" s="37" t="s">
        <v>249</v>
      </c>
      <c r="M14" s="38" t="str">
        <f t="array" ref="M14">IF(F14&gt;30%,"YES","NO")</f>
        <v>NO</v>
      </c>
      <c r="N14" s="39" t="str">
        <f t="array" ref="N14">IF(H14&lt;30%,"YES","NO")</f>
        <v>NO</v>
      </c>
      <c r="O14" s="37" t="str">
        <f t="shared" si="1"/>
        <v>GOOD STOCK</v>
      </c>
      <c r="P14" s="40" t="str">
        <f t="array" ref="P14"> ifs((B14/$B$2)*100&gt;=60,"Large cap stocks",and((B14/$B$2)*100&lt;60,(B14/$B$2)*100&gt;40),"Medium cap stocks",(B14/$B$2)*100&lt;40,"Small cap stocks")</f>
        <v>Small cap stocks</v>
      </c>
    </row>
    <row r="15">
      <c r="A15" s="4" t="s">
        <v>13</v>
      </c>
      <c r="B15" s="41">
        <v>278960.0995659</v>
      </c>
      <c r="C15" s="43">
        <v>2912.0</v>
      </c>
      <c r="D15" s="43">
        <v>76.19</v>
      </c>
      <c r="E15" s="43">
        <v>3582.9</v>
      </c>
      <c r="F15" s="44">
        <v>0.18725055122945103</v>
      </c>
      <c r="G15" s="43">
        <v>2560.0</v>
      </c>
      <c r="H15" s="44">
        <v>0.1375</v>
      </c>
      <c r="I15" s="43">
        <v>2915.95</v>
      </c>
      <c r="J15" s="44">
        <v>-0.0013546185634183776</v>
      </c>
      <c r="K15" s="45" t="s">
        <v>250</v>
      </c>
      <c r="L15" s="45" t="s">
        <v>251</v>
      </c>
      <c r="M15" s="38" t="str">
        <f t="array" ref="M15">IF(F15&gt;30%,"YES","NO")</f>
        <v>NO</v>
      </c>
      <c r="N15" s="39" t="str">
        <f t="array" ref="N15">IF(H15&lt;30%,"YES","NO")</f>
        <v>YES</v>
      </c>
      <c r="O15" s="45" t="str">
        <f t="shared" si="1"/>
        <v/>
      </c>
      <c r="P15" s="40" t="str">
        <f t="shared" ref="P15:P28" si="2">ifs((B15/B$2)*100&gt;=60,"Large cap stocks",and((B15/B$2)*100&lt;60,(B15/B$2)*100&gt;40),"Medium cap stocks",(B15/B$2)*100&lt;40,"Small cap stocks")</f>
        <v>Small cap stocks</v>
      </c>
    </row>
    <row r="16">
      <c r="A16" s="4" t="s">
        <v>16</v>
      </c>
      <c r="B16" s="34">
        <v>255438.4185926</v>
      </c>
      <c r="C16" s="35">
        <v>8454.2</v>
      </c>
      <c r="D16" s="35">
        <v>42.1</v>
      </c>
      <c r="E16" s="35">
        <v>9769.0</v>
      </c>
      <c r="F16" s="36">
        <v>0.13458900603951268</v>
      </c>
      <c r="G16" s="35">
        <v>6536.55</v>
      </c>
      <c r="H16" s="36">
        <v>0.2933734156397489</v>
      </c>
      <c r="I16" s="35">
        <v>8369.2</v>
      </c>
      <c r="J16" s="36">
        <v>0.010156287339291688</v>
      </c>
      <c r="K16" s="37" t="s">
        <v>252</v>
      </c>
      <c r="L16" s="37" t="s">
        <v>253</v>
      </c>
      <c r="M16" s="38" t="str">
        <f t="array" ref="M16">IF(F16&gt;30%,"YES","NO")</f>
        <v>NO</v>
      </c>
      <c r="N16" s="39" t="str">
        <f t="array" ref="N16">IF(H16&lt;30%,"YES","NO")</f>
        <v>YES</v>
      </c>
      <c r="O16" s="37" t="str">
        <f t="shared" si="1"/>
        <v/>
      </c>
      <c r="P16" s="40" t="str">
        <f t="shared" si="2"/>
        <v>Small cap stocks</v>
      </c>
    </row>
    <row r="17">
      <c r="A17" s="4" t="s">
        <v>204</v>
      </c>
      <c r="B17" s="41">
        <v>247191.650802</v>
      </c>
      <c r="C17" s="43">
        <v>1031.05</v>
      </c>
      <c r="D17" s="43">
        <v>60.4</v>
      </c>
      <c r="E17" s="43">
        <v>1070.95</v>
      </c>
      <c r="F17" s="44">
        <v>0.03725664129978065</v>
      </c>
      <c r="G17" s="43">
        <v>784.8</v>
      </c>
      <c r="H17" s="44">
        <v>0.3137742099898063</v>
      </c>
      <c r="I17" s="43">
        <v>1032.85</v>
      </c>
      <c r="J17" s="44">
        <v>-0.0017427506414290116</v>
      </c>
      <c r="K17" s="45" t="s">
        <v>254</v>
      </c>
      <c r="L17" s="45" t="s">
        <v>255</v>
      </c>
      <c r="M17" s="38" t="str">
        <f t="array" ref="M17">IF(F17&gt;30%,"YES","NO")</f>
        <v>NO</v>
      </c>
      <c r="N17" s="39" t="str">
        <f t="array" ref="N17">IF(H17&lt;30%,"YES","NO")</f>
        <v>NO</v>
      </c>
      <c r="O17" s="45" t="str">
        <f t="shared" si="1"/>
        <v>GOOD STOCK</v>
      </c>
      <c r="P17" s="40" t="str">
        <f t="shared" si="2"/>
        <v>Small cap stocks</v>
      </c>
    </row>
    <row r="18">
      <c r="A18" s="4" t="s">
        <v>19</v>
      </c>
      <c r="B18" s="34">
        <v>221292.5064376</v>
      </c>
      <c r="C18" s="35">
        <v>1391.0</v>
      </c>
      <c r="D18" s="35">
        <v>40.48</v>
      </c>
      <c r="E18" s="35">
        <v>3724.2</v>
      </c>
      <c r="F18" s="36">
        <v>0.6264969657913109</v>
      </c>
      <c r="G18" s="35">
        <v>1374.35</v>
      </c>
      <c r="H18" s="36">
        <v>0.012114817913923012</v>
      </c>
      <c r="I18" s="35">
        <v>1387.8</v>
      </c>
      <c r="J18" s="36">
        <v>0.002305807753278603</v>
      </c>
      <c r="K18" s="37" t="s">
        <v>239</v>
      </c>
      <c r="L18" s="37" t="s">
        <v>256</v>
      </c>
      <c r="M18" s="38" t="str">
        <f t="array" ref="M18">IF(F18&gt;30%,"YES","NO")</f>
        <v>YES</v>
      </c>
      <c r="N18" s="39" t="str">
        <f t="array" ref="N18">IF(H18&lt;30%,"YES","NO")</f>
        <v>YES</v>
      </c>
      <c r="O18" s="37" t="str">
        <f t="shared" si="1"/>
        <v/>
      </c>
      <c r="P18" s="40" t="str">
        <f t="shared" si="2"/>
        <v>Small cap stocks</v>
      </c>
    </row>
    <row r="19">
      <c r="A19" s="4" t="s">
        <v>189</v>
      </c>
      <c r="B19" s="41">
        <v>214719.0067183</v>
      </c>
      <c r="C19" s="43">
        <v>2417.65</v>
      </c>
      <c r="D19" s="43">
        <v>68.59</v>
      </c>
      <c r="E19" s="43">
        <v>2790.0</v>
      </c>
      <c r="F19" s="44">
        <v>0.13345878136200715</v>
      </c>
      <c r="G19" s="43">
        <v>1827.15</v>
      </c>
      <c r="H19" s="44">
        <v>0.32318091016063266</v>
      </c>
      <c r="I19" s="43">
        <v>2445.65</v>
      </c>
      <c r="J19" s="44">
        <v>-0.011448899065688058</v>
      </c>
      <c r="K19" s="45" t="s">
        <v>257</v>
      </c>
      <c r="L19" s="45" t="s">
        <v>258</v>
      </c>
      <c r="M19" s="38" t="str">
        <f t="array" ref="M19">IF(F19&gt;30%,"YES","NO")</f>
        <v>NO</v>
      </c>
      <c r="N19" s="39" t="str">
        <f t="array" ref="N19">IF(H19&lt;30%,"YES","NO")</f>
        <v>NO</v>
      </c>
      <c r="O19" s="45" t="str">
        <f t="shared" si="1"/>
        <v/>
      </c>
      <c r="P19" s="40" t="str">
        <f t="shared" si="2"/>
        <v>Small cap stocks</v>
      </c>
    </row>
    <row r="20">
      <c r="A20" s="4" t="s">
        <v>21</v>
      </c>
      <c r="B20" s="34">
        <v>208975.8</v>
      </c>
      <c r="C20" s="35">
        <v>7244.95</v>
      </c>
      <c r="D20" s="35">
        <v>31.35</v>
      </c>
      <c r="E20" s="35">
        <v>7946.0</v>
      </c>
      <c r="F20" s="36">
        <v>0.08822678077019887</v>
      </c>
      <c r="G20" s="35">
        <v>5157.05</v>
      </c>
      <c r="H20" s="36">
        <v>0.4048632454600982</v>
      </c>
      <c r="I20" s="35">
        <v>7153.35</v>
      </c>
      <c r="J20" s="36">
        <v>0.012805189177098764</v>
      </c>
      <c r="K20" s="37" t="s">
        <v>259</v>
      </c>
      <c r="L20" s="37" t="s">
        <v>260</v>
      </c>
      <c r="M20" s="38" t="str">
        <f t="array" ref="M20">IF(F20&gt;30%,"YES","NO")</f>
        <v>NO</v>
      </c>
      <c r="N20" s="39" t="str">
        <f t="array" ref="N20">IF(H20&lt;30%,"YES","NO")</f>
        <v>NO</v>
      </c>
      <c r="O20" s="37" t="str">
        <f t="shared" si="1"/>
        <v>GOOD STOCK</v>
      </c>
      <c r="P20" s="40" t="str">
        <f t="shared" si="2"/>
        <v>Small cap stocks</v>
      </c>
    </row>
    <row r="21">
      <c r="A21" s="4" t="s">
        <v>20</v>
      </c>
      <c r="B21" s="41">
        <v>190752.2</v>
      </c>
      <c r="C21" s="43">
        <v>19782.3</v>
      </c>
      <c r="D21" s="43">
        <v>88.1</v>
      </c>
      <c r="E21" s="43">
        <v>21050.0</v>
      </c>
      <c r="F21" s="44">
        <v>0.060223277909738755</v>
      </c>
      <c r="G21" s="43">
        <v>16000.0</v>
      </c>
      <c r="H21" s="44">
        <v>0.23639374999999996</v>
      </c>
      <c r="I21" s="43">
        <v>19873.25</v>
      </c>
      <c r="J21" s="44">
        <v>-0.004576503591511238</v>
      </c>
      <c r="K21" s="45" t="s">
        <v>235</v>
      </c>
      <c r="L21" s="45" t="s">
        <v>261</v>
      </c>
      <c r="M21" s="38" t="str">
        <f t="array" ref="M21">IF(F21&gt;30%,"YES","NO")</f>
        <v>NO</v>
      </c>
      <c r="N21" s="39" t="str">
        <f t="array" ref="N21">IF(H21&lt;30%,"YES","NO")</f>
        <v>YES</v>
      </c>
      <c r="O21" s="45" t="str">
        <f t="shared" si="1"/>
        <v/>
      </c>
      <c r="P21" s="40" t="str">
        <f t="shared" si="2"/>
        <v>Small cap stocks</v>
      </c>
    </row>
    <row r="22">
      <c r="A22" s="4" t="s">
        <v>22</v>
      </c>
      <c r="B22" s="34">
        <v>158785.3716893</v>
      </c>
      <c r="C22" s="35">
        <v>1327.55</v>
      </c>
      <c r="D22" s="35">
        <v>16.12</v>
      </c>
      <c r="E22" s="35">
        <v>1366.55</v>
      </c>
      <c r="F22" s="36">
        <v>0.028539021623797154</v>
      </c>
      <c r="G22" s="35">
        <v>671.15</v>
      </c>
      <c r="H22" s="36">
        <v>0.9780227966922447</v>
      </c>
      <c r="I22" s="35">
        <v>1319.9</v>
      </c>
      <c r="J22" s="36">
        <v>0.005795893628305071</v>
      </c>
      <c r="K22" s="37" t="s">
        <v>252</v>
      </c>
      <c r="L22" s="37" t="s">
        <v>22</v>
      </c>
      <c r="M22" s="38" t="str">
        <f t="array" ref="M22">IF(F22&gt;30%,"YES","NO")</f>
        <v>NO</v>
      </c>
      <c r="N22" s="39" t="str">
        <f t="array" ref="N22">IF(H22&lt;30%,"YES","NO")</f>
        <v>NO</v>
      </c>
      <c r="O22" s="37" t="str">
        <f t="shared" si="1"/>
        <v>GOOD STOCK</v>
      </c>
      <c r="P22" s="40" t="str">
        <f t="shared" si="2"/>
        <v>Small cap stocks</v>
      </c>
    </row>
    <row r="23">
      <c r="A23" s="4" t="s">
        <v>26</v>
      </c>
      <c r="B23" s="41">
        <v>147293.6037181</v>
      </c>
      <c r="C23" s="43">
        <v>120.45</v>
      </c>
      <c r="D23" s="43">
        <v>5.13</v>
      </c>
      <c r="E23" s="43">
        <v>138.63</v>
      </c>
      <c r="F23" s="44">
        <v>0.1311404457909543</v>
      </c>
      <c r="G23" s="43">
        <v>82.71</v>
      </c>
      <c r="H23" s="44">
        <v>0.45629307217990583</v>
      </c>
      <c r="I23" s="43">
        <v>118.05</v>
      </c>
      <c r="J23" s="44">
        <v>0.020330368487928893</v>
      </c>
      <c r="K23" s="45" t="s">
        <v>247</v>
      </c>
      <c r="L23" s="45" t="s">
        <v>262</v>
      </c>
      <c r="M23" s="38" t="str">
        <f t="array" ref="M23">IF(F23&gt;30%,"YES","NO")</f>
        <v>NO</v>
      </c>
      <c r="N23" s="39" t="str">
        <f t="array" ref="N23">IF(H23&lt;30%,"YES","NO")</f>
        <v>NO</v>
      </c>
      <c r="O23" s="45" t="str">
        <f t="shared" si="1"/>
        <v>GOOD STOCK</v>
      </c>
      <c r="P23" s="40" t="str">
        <f t="shared" si="2"/>
        <v>Small cap stocks</v>
      </c>
    </row>
    <row r="24">
      <c r="A24" s="4" t="s">
        <v>25</v>
      </c>
      <c r="B24" s="34">
        <v>130568.986925</v>
      </c>
      <c r="C24" s="35">
        <v>1307.0</v>
      </c>
      <c r="D24" s="35">
        <v>78.07</v>
      </c>
      <c r="E24" s="35">
        <v>1340.35</v>
      </c>
      <c r="F24" s="36">
        <v>0.024881560786361705</v>
      </c>
      <c r="G24" s="35">
        <v>1003.5</v>
      </c>
      <c r="H24" s="36">
        <v>0.3024414549078226</v>
      </c>
      <c r="I24" s="35">
        <v>1315.7</v>
      </c>
      <c r="J24" s="36">
        <v>-0.006612449646576001</v>
      </c>
      <c r="K24" s="37" t="s">
        <v>240</v>
      </c>
      <c r="L24" s="37" t="s">
        <v>263</v>
      </c>
      <c r="M24" s="38" t="str">
        <f t="array" ref="M24">IF(F24&gt;30%,"YES","NO")</f>
        <v>NO</v>
      </c>
      <c r="N24" s="39" t="str">
        <f t="array" ref="N24">IF(H24&lt;30%,"YES","NO")</f>
        <v>NO</v>
      </c>
      <c r="O24" s="37" t="str">
        <f t="shared" si="1"/>
        <v/>
      </c>
      <c r="P24" s="40" t="str">
        <f t="shared" si="2"/>
        <v>Small cap stocks</v>
      </c>
    </row>
    <row r="25">
      <c r="A25" s="4" t="s">
        <v>186</v>
      </c>
      <c r="B25" s="41">
        <v>129917.6</v>
      </c>
      <c r="C25" s="43">
        <v>604.0</v>
      </c>
      <c r="D25" s="43">
        <v>85.12</v>
      </c>
      <c r="E25" s="43">
        <v>678.8</v>
      </c>
      <c r="F25" s="44">
        <v>0.11019446081319971</v>
      </c>
      <c r="G25" s="43">
        <v>497.05</v>
      </c>
      <c r="H25" s="44">
        <v>0.21516950005029672</v>
      </c>
      <c r="I25" s="43">
        <v>598.4</v>
      </c>
      <c r="J25" s="44">
        <v>0.009358288770053515</v>
      </c>
      <c r="K25" s="45" t="s">
        <v>240</v>
      </c>
      <c r="L25" s="45" t="s">
        <v>264</v>
      </c>
      <c r="M25" s="38" t="str">
        <f t="array" ref="M25">IF(F25&gt;30%,"YES","NO")</f>
        <v>NO</v>
      </c>
      <c r="N25" s="39" t="str">
        <f t="array" ref="N25">IF(H25&lt;30%,"YES","NO")</f>
        <v>YES</v>
      </c>
      <c r="O25" s="45" t="str">
        <f t="shared" si="1"/>
        <v/>
      </c>
      <c r="P25" s="40" t="str">
        <f t="shared" si="2"/>
        <v>Small cap stocks</v>
      </c>
    </row>
    <row r="26">
      <c r="A26" s="4" t="s">
        <v>24</v>
      </c>
      <c r="B26" s="34">
        <v>127340.0</v>
      </c>
      <c r="C26" s="35">
        <v>2513.0</v>
      </c>
      <c r="D26" s="35">
        <v>98.38</v>
      </c>
      <c r="E26" s="35">
        <v>2918.95</v>
      </c>
      <c r="F26" s="36">
        <v>0.13907398208259814</v>
      </c>
      <c r="G26" s="35">
        <v>1988.55</v>
      </c>
      <c r="H26" s="36">
        <v>0.26373488220059843</v>
      </c>
      <c r="I26" s="35">
        <v>2495.5</v>
      </c>
      <c r="J26" s="36">
        <v>0.0070126227208976155</v>
      </c>
      <c r="K26" s="37" t="s">
        <v>265</v>
      </c>
      <c r="L26" s="37" t="s">
        <v>266</v>
      </c>
      <c r="M26" s="38" t="str">
        <f t="array" ref="M26">IF(F26&gt;30%,"YES","NO")</f>
        <v>NO</v>
      </c>
      <c r="N26" s="39" t="str">
        <f t="array" ref="N26">IF(H26&lt;30%,"YES","NO")</f>
        <v>YES</v>
      </c>
      <c r="O26" s="37" t="str">
        <f t="shared" si="1"/>
        <v/>
      </c>
      <c r="P26" s="40" t="str">
        <f t="shared" si="2"/>
        <v>Small cap stocks</v>
      </c>
    </row>
    <row r="27">
      <c r="A27" s="4" t="s">
        <v>35</v>
      </c>
      <c r="B27" s="41">
        <v>126813.4</v>
      </c>
      <c r="C27" s="43">
        <v>4289.8</v>
      </c>
      <c r="D27" s="43">
        <v>34.73</v>
      </c>
      <c r="E27" s="43">
        <v>4293.25</v>
      </c>
      <c r="F27" s="44">
        <v>8.035870261456514E-4</v>
      </c>
      <c r="G27" s="43">
        <v>4147.45</v>
      </c>
      <c r="H27" s="44">
        <v>0.03432229442187377</v>
      </c>
      <c r="I27" s="43">
        <v>4279.2</v>
      </c>
      <c r="J27" s="44">
        <v>0.0024770985230885127</v>
      </c>
      <c r="K27" s="45" t="s">
        <v>233</v>
      </c>
      <c r="L27" s="45" t="s">
        <v>267</v>
      </c>
      <c r="M27" s="38" t="str">
        <f t="array" ref="M27">IF(F27&gt;30%,"YES","NO")</f>
        <v>NO</v>
      </c>
      <c r="N27" s="39" t="str">
        <f t="array" ref="N27">IF(H27&lt;30%,"YES","NO")</f>
        <v>YES</v>
      </c>
      <c r="O27" s="45" t="str">
        <f t="shared" si="1"/>
        <v/>
      </c>
      <c r="P27" s="40" t="str">
        <f t="shared" si="2"/>
        <v>Small cap stocks</v>
      </c>
    </row>
    <row r="28">
      <c r="A28" s="4" t="s">
        <v>30</v>
      </c>
      <c r="B28" s="34">
        <v>104442.9</v>
      </c>
      <c r="C28" s="35">
        <v>4328.0</v>
      </c>
      <c r="D28" s="35">
        <v>65.9</v>
      </c>
      <c r="E28" s="35">
        <v>4537.0</v>
      </c>
      <c r="F28" s="36">
        <v>0.046065682168834034</v>
      </c>
      <c r="G28" s="35">
        <v>3050.0</v>
      </c>
      <c r="H28" s="36">
        <v>0.4190163934426229</v>
      </c>
      <c r="I28" s="35">
        <v>4299.25</v>
      </c>
      <c r="J28" s="36">
        <v>0.006687212885968483</v>
      </c>
      <c r="K28" s="37" t="s">
        <v>235</v>
      </c>
      <c r="L28" s="37" t="s">
        <v>268</v>
      </c>
      <c r="M28" s="38" t="str">
        <f t="array" ref="M28">IF(F28&gt;30%,"YES","NO")</f>
        <v>NO</v>
      </c>
      <c r="N28" s="39" t="str">
        <f t="array" ref="N28">IF(H28&lt;30%,"YES","NO")</f>
        <v>NO</v>
      </c>
      <c r="O28" s="37" t="str">
        <f t="shared" si="1"/>
        <v/>
      </c>
      <c r="P28" s="40" t="str">
        <f t="shared" si="2"/>
        <v>Small cap stocks</v>
      </c>
    </row>
    <row r="29" hidden="1">
      <c r="A29" s="4" t="s">
        <v>37</v>
      </c>
      <c r="B29" s="41">
        <v>42070.7692196</v>
      </c>
      <c r="C29" s="43">
        <v>147.6</v>
      </c>
      <c r="D29" s="43">
        <v>918.2</v>
      </c>
      <c r="E29" s="43">
        <v>348.0</v>
      </c>
      <c r="F29" s="44">
        <v>0.5758620689655173</v>
      </c>
      <c r="G29" s="43">
        <v>139.35</v>
      </c>
      <c r="H29" s="44">
        <v>0.059203444564047365</v>
      </c>
      <c r="I29" s="43">
        <v>149.75</v>
      </c>
      <c r="J29" s="44">
        <v>-0.014357262103505882</v>
      </c>
      <c r="K29" s="45" t="s">
        <v>298</v>
      </c>
      <c r="L29" s="45" t="s">
        <v>471</v>
      </c>
      <c r="M29" s="45"/>
      <c r="N29" s="45"/>
      <c r="O29" s="45"/>
      <c r="P29" s="45"/>
    </row>
    <row r="30">
      <c r="A30" s="4" t="s">
        <v>33</v>
      </c>
      <c r="B30" s="34">
        <v>102995.3567038</v>
      </c>
      <c r="C30" s="35">
        <v>518.7</v>
      </c>
      <c r="D30" s="35">
        <v>57.36</v>
      </c>
      <c r="E30" s="35">
        <v>598.15</v>
      </c>
      <c r="F30" s="36">
        <v>0.13282621416032755</v>
      </c>
      <c r="G30" s="35">
        <v>274.0</v>
      </c>
      <c r="H30" s="36">
        <v>0.8930656934306571</v>
      </c>
      <c r="I30" s="35">
        <v>510.4</v>
      </c>
      <c r="J30" s="36">
        <v>0.01626175548589355</v>
      </c>
      <c r="K30" s="37" t="s">
        <v>259</v>
      </c>
      <c r="L30" s="37" t="s">
        <v>269</v>
      </c>
      <c r="M30" s="38" t="str">
        <f t="array" ref="M30">IF(F30&gt;30%,"YES","NO")</f>
        <v>NO</v>
      </c>
      <c r="N30" s="39" t="str">
        <f t="array" ref="N30">IF(H30&lt;30%,"YES","NO")</f>
        <v>NO</v>
      </c>
      <c r="O30" s="37" t="str">
        <f t="shared" ref="O30:O35" si="3">if(AND(D30&lt;65,M30="NO",N30="NO"),"GOOD STOCK","")</f>
        <v>GOOD STOCK</v>
      </c>
      <c r="P30" s="40" t="str">
        <f t="shared" ref="P30:P35" si="4">ifs((B30/B$2)*100&gt;=60,"Large cap stocks",and((B30/B$2)*100&lt;60,(B30/B$2)*100&gt;40),"Medium cap stocks",(B30/B$2)*100&lt;40,"Small cap stocks")</f>
        <v>Small cap stocks</v>
      </c>
    </row>
    <row r="31">
      <c r="A31" s="4" t="s">
        <v>23</v>
      </c>
      <c r="B31" s="41">
        <v>101964.8629622</v>
      </c>
      <c r="C31" s="43">
        <v>3602.45</v>
      </c>
      <c r="D31" s="43">
        <v>17.79</v>
      </c>
      <c r="E31" s="43">
        <v>4131.75</v>
      </c>
      <c r="F31" s="44">
        <v>0.12810552429358024</v>
      </c>
      <c r="G31" s="43">
        <v>3125.0</v>
      </c>
      <c r="H31" s="44">
        <v>0.15278399999999995</v>
      </c>
      <c r="I31" s="43">
        <v>3570.3</v>
      </c>
      <c r="J31" s="44">
        <v>0.009004845531187753</v>
      </c>
      <c r="K31" s="45" t="s">
        <v>252</v>
      </c>
      <c r="L31" s="45" t="s">
        <v>270</v>
      </c>
      <c r="M31" s="38" t="str">
        <f t="array" ref="M31">IF(F31&gt;30%,"YES","NO")</f>
        <v>NO</v>
      </c>
      <c r="N31" s="39" t="str">
        <f t="array" ref="N31">IF(H31&lt;30%,"YES","NO")</f>
        <v>YES</v>
      </c>
      <c r="O31" s="45" t="str">
        <f t="shared" si="3"/>
        <v/>
      </c>
      <c r="P31" s="40" t="str">
        <f t="shared" si="4"/>
        <v>Small cap stocks</v>
      </c>
    </row>
    <row r="32">
      <c r="A32" s="4" t="s">
        <v>28</v>
      </c>
      <c r="B32" s="34">
        <v>97631.0184537</v>
      </c>
      <c r="C32" s="35">
        <v>1002.8</v>
      </c>
      <c r="D32" s="35">
        <v>16.8</v>
      </c>
      <c r="E32" s="35">
        <v>1751.0</v>
      </c>
      <c r="F32" s="36">
        <v>0.42729868646487723</v>
      </c>
      <c r="G32" s="35">
        <v>943.7</v>
      </c>
      <c r="H32" s="36">
        <v>0.06262583448129692</v>
      </c>
      <c r="I32" s="35">
        <v>1001.55</v>
      </c>
      <c r="J32" s="36">
        <v>0.0012480654984773601</v>
      </c>
      <c r="K32" s="37" t="s">
        <v>233</v>
      </c>
      <c r="L32" s="37" t="s">
        <v>271</v>
      </c>
      <c r="M32" s="38" t="str">
        <f t="array" ref="M32">IF(F32&gt;30%,"YES","NO")</f>
        <v>YES</v>
      </c>
      <c r="N32" s="39" t="str">
        <f t="array" ref="N32">IF(H32&lt;30%,"YES","NO")</f>
        <v>YES</v>
      </c>
      <c r="O32" s="37" t="str">
        <f t="shared" si="3"/>
        <v/>
      </c>
      <c r="P32" s="40" t="str">
        <f t="shared" si="4"/>
        <v>Small cap stocks</v>
      </c>
    </row>
    <row r="33">
      <c r="A33" s="4" t="s">
        <v>29</v>
      </c>
      <c r="B33" s="41">
        <v>96383.9372552</v>
      </c>
      <c r="C33" s="43">
        <v>544.0</v>
      </c>
      <c r="D33" s="43">
        <v>55.79</v>
      </c>
      <c r="E33" s="43">
        <v>610.75</v>
      </c>
      <c r="F33" s="44">
        <v>0.10929185427752763</v>
      </c>
      <c r="G33" s="43">
        <v>482.25</v>
      </c>
      <c r="H33" s="44">
        <v>0.12804561949196475</v>
      </c>
      <c r="I33" s="43">
        <v>544.95</v>
      </c>
      <c r="J33" s="44">
        <v>-0.0017432791999266821</v>
      </c>
      <c r="K33" s="45" t="s">
        <v>235</v>
      </c>
      <c r="L33" s="45" t="s">
        <v>272</v>
      </c>
      <c r="M33" s="38" t="str">
        <f t="array" ref="M33">IF(F33&gt;30%,"YES","NO")</f>
        <v>NO</v>
      </c>
      <c r="N33" s="39" t="str">
        <f t="array" ref="N33">IF(H33&lt;30%,"YES","NO")</f>
        <v>YES</v>
      </c>
      <c r="O33" s="45" t="str">
        <f t="shared" si="3"/>
        <v/>
      </c>
      <c r="P33" s="40" t="str">
        <f t="shared" si="4"/>
        <v>Small cap stocks</v>
      </c>
    </row>
    <row r="34">
      <c r="A34" s="4" t="s">
        <v>178</v>
      </c>
      <c r="B34" s="34">
        <v>95565.8761753</v>
      </c>
      <c r="C34" s="35">
        <v>184.9</v>
      </c>
      <c r="D34" s="35">
        <v>9.72</v>
      </c>
      <c r="E34" s="35">
        <v>197.2</v>
      </c>
      <c r="F34" s="36">
        <v>0.06237322515212974</v>
      </c>
      <c r="G34" s="35">
        <v>89.9</v>
      </c>
      <c r="H34" s="36">
        <v>1.0567296996662958</v>
      </c>
      <c r="I34" s="35">
        <v>181.8</v>
      </c>
      <c r="J34" s="36">
        <v>0.01705170517051702</v>
      </c>
      <c r="K34" s="37" t="s">
        <v>237</v>
      </c>
      <c r="L34" s="37" t="s">
        <v>273</v>
      </c>
      <c r="M34" s="38" t="str">
        <f t="array" ref="M34">IF(F34&gt;30%,"YES","NO")</f>
        <v>NO</v>
      </c>
      <c r="N34" s="39" t="str">
        <f t="array" ref="N34">IF(H34&lt;30%,"YES","NO")</f>
        <v>NO</v>
      </c>
      <c r="O34" s="37" t="str">
        <f t="shared" si="3"/>
        <v>GOOD STOCK</v>
      </c>
      <c r="P34" s="40" t="str">
        <f t="shared" si="4"/>
        <v>Small cap stocks</v>
      </c>
    </row>
    <row r="35">
      <c r="A35" s="4" t="s">
        <v>217</v>
      </c>
      <c r="B35" s="41">
        <v>93678.862</v>
      </c>
      <c r="C35" s="43">
        <v>916.75</v>
      </c>
      <c r="D35" s="43">
        <v>58.81</v>
      </c>
      <c r="E35" s="43">
        <v>955.65</v>
      </c>
      <c r="F35" s="44">
        <v>0.04070527912938835</v>
      </c>
      <c r="G35" s="43">
        <v>660.2</v>
      </c>
      <c r="H35" s="44">
        <v>0.3885943653438351</v>
      </c>
      <c r="I35" s="43">
        <v>914.9</v>
      </c>
      <c r="J35" s="44">
        <v>0.00202207891572852</v>
      </c>
      <c r="K35" s="45" t="s">
        <v>235</v>
      </c>
      <c r="L35" s="45" t="s">
        <v>274</v>
      </c>
      <c r="M35" s="38" t="str">
        <f t="array" ref="M35">IF(F35&gt;30%,"YES","NO")</f>
        <v>NO</v>
      </c>
      <c r="N35" s="39" t="str">
        <f t="array" ref="N35">IF(H35&lt;30%,"YES","NO")</f>
        <v>NO</v>
      </c>
      <c r="O35" s="45" t="str">
        <f t="shared" si="3"/>
        <v>GOOD STOCK</v>
      </c>
      <c r="P35" s="40" t="str">
        <f t="shared" si="4"/>
        <v>Small cap stocks</v>
      </c>
    </row>
    <row r="36" hidden="1">
      <c r="A36" s="4" t="s">
        <v>44</v>
      </c>
      <c r="B36" s="34">
        <v>44392.395</v>
      </c>
      <c r="C36" s="35">
        <v>53.25</v>
      </c>
      <c r="D36" s="49" t="s">
        <v>15</v>
      </c>
      <c r="E36" s="35">
        <v>135.35</v>
      </c>
      <c r="F36" s="36">
        <v>0.606575544883635</v>
      </c>
      <c r="G36" s="35">
        <v>40.55</v>
      </c>
      <c r="H36" s="36">
        <v>0.3131935881627621</v>
      </c>
      <c r="I36" s="35">
        <v>53.75</v>
      </c>
      <c r="J36" s="36">
        <v>-0.009302325581395349</v>
      </c>
      <c r="K36" s="37" t="e">
        <v>#N/A</v>
      </c>
      <c r="L36" s="37" t="e">
        <v>#N/A</v>
      </c>
      <c r="M36" s="37"/>
      <c r="N36" s="37"/>
      <c r="O36" s="37"/>
      <c r="P36" s="37"/>
    </row>
    <row r="37">
      <c r="A37" s="4" t="s">
        <v>27</v>
      </c>
      <c r="B37" s="41">
        <v>88977.11</v>
      </c>
      <c r="C37" s="43">
        <v>3352.15</v>
      </c>
      <c r="D37" s="43">
        <v>29.74</v>
      </c>
      <c r="E37" s="43">
        <v>4668.0</v>
      </c>
      <c r="F37" s="44">
        <v>0.28188731790916877</v>
      </c>
      <c r="G37" s="43">
        <v>3195.15</v>
      </c>
      <c r="H37" s="44">
        <v>0.049136973225044206</v>
      </c>
      <c r="I37" s="43">
        <v>3305.3</v>
      </c>
      <c r="J37" s="44">
        <v>0.014174205064593201</v>
      </c>
      <c r="K37" s="45" t="s">
        <v>254</v>
      </c>
      <c r="L37" s="45" t="s">
        <v>275</v>
      </c>
      <c r="M37" s="38" t="str">
        <f t="array" ref="M37">IF(F37&gt;30%,"YES","NO")</f>
        <v>NO</v>
      </c>
      <c r="N37" s="39" t="str">
        <f t="array" ref="N37">IF(H37&lt;30%,"YES","NO")</f>
        <v>YES</v>
      </c>
      <c r="O37" s="45" t="str">
        <f t="shared" ref="O37:O42" si="5">if(AND(D37&lt;65,M37="NO",N37="NO"),"GOOD STOCK","")</f>
        <v/>
      </c>
      <c r="P37" s="40" t="str">
        <f t="shared" ref="P37:P42" si="6">ifs((B37/B$2)*100&gt;=60,"Large cap stocks",and((B37/B$2)*100&lt;60,(B37/B$2)*100&gt;40),"Medium cap stocks",(B37/B$2)*100&lt;40,"Small cap stocks")</f>
        <v>Small cap stocks</v>
      </c>
    </row>
    <row r="38">
      <c r="A38" s="4" t="s">
        <v>181</v>
      </c>
      <c r="B38" s="34">
        <v>87098.03</v>
      </c>
      <c r="C38" s="35">
        <v>24025.0</v>
      </c>
      <c r="D38" s="35">
        <v>54.11</v>
      </c>
      <c r="E38" s="35">
        <v>27936.75</v>
      </c>
      <c r="F38" s="36">
        <v>0.14002165606235514</v>
      </c>
      <c r="G38" s="35">
        <v>17865.2</v>
      </c>
      <c r="H38" s="36">
        <v>0.34479322929494205</v>
      </c>
      <c r="I38" s="35">
        <v>23854.85</v>
      </c>
      <c r="J38" s="36">
        <v>0.007132721438198163</v>
      </c>
      <c r="K38" s="37" t="s">
        <v>259</v>
      </c>
      <c r="L38" s="37" t="s">
        <v>276</v>
      </c>
      <c r="M38" s="38" t="str">
        <f t="array" ref="M38">IF(F38&gt;30%,"YES","NO")</f>
        <v>NO</v>
      </c>
      <c r="N38" s="39" t="str">
        <f t="array" ref="N38">IF(H38&lt;30%,"YES","NO")</f>
        <v>NO</v>
      </c>
      <c r="O38" s="37" t="str">
        <f t="shared" si="5"/>
        <v>GOOD STOCK</v>
      </c>
      <c r="P38" s="40" t="str">
        <f t="shared" si="6"/>
        <v>Small cap stocks</v>
      </c>
    </row>
    <row r="39">
      <c r="A39" s="4" t="s">
        <v>31</v>
      </c>
      <c r="B39" s="41">
        <v>86543.2296232</v>
      </c>
      <c r="C39" s="43">
        <v>3164.9</v>
      </c>
      <c r="D39" s="43">
        <v>37.12</v>
      </c>
      <c r="E39" s="43">
        <v>3889.65</v>
      </c>
      <c r="F39" s="44">
        <v>0.18632781869834047</v>
      </c>
      <c r="G39" s="43">
        <v>2159.55</v>
      </c>
      <c r="H39" s="44">
        <v>0.4655368016484915</v>
      </c>
      <c r="I39" s="43">
        <v>3103.25</v>
      </c>
      <c r="J39" s="44">
        <v>0.019866269233867747</v>
      </c>
      <c r="K39" s="45" t="s">
        <v>252</v>
      </c>
      <c r="L39" s="45" t="s">
        <v>277</v>
      </c>
      <c r="M39" s="38" t="str">
        <f t="array" ref="M39">IF(F39&gt;30%,"YES","NO")</f>
        <v>NO</v>
      </c>
      <c r="N39" s="39" t="str">
        <f t="array" ref="N39">IF(H39&lt;30%,"YES","NO")</f>
        <v>NO</v>
      </c>
      <c r="O39" s="45" t="str">
        <f t="shared" si="5"/>
        <v>GOOD STOCK</v>
      </c>
      <c r="P39" s="40" t="str">
        <f t="shared" si="6"/>
        <v>Small cap stocks</v>
      </c>
    </row>
    <row r="40">
      <c r="A40" s="4" t="s">
        <v>32</v>
      </c>
      <c r="B40" s="34">
        <v>86182.29</v>
      </c>
      <c r="C40" s="35">
        <v>1068.85</v>
      </c>
      <c r="D40" s="35">
        <v>33.64</v>
      </c>
      <c r="E40" s="35">
        <v>1185.25</v>
      </c>
      <c r="F40" s="36">
        <v>0.09820712929761662</v>
      </c>
      <c r="G40" s="35">
        <v>860.0</v>
      </c>
      <c r="H40" s="36">
        <v>0.24284883720930223</v>
      </c>
      <c r="I40" s="35">
        <v>1061.15</v>
      </c>
      <c r="J40" s="36">
        <v>0.007256278565706844</v>
      </c>
      <c r="K40" s="37" t="s">
        <v>254</v>
      </c>
      <c r="L40" s="37" t="s">
        <v>278</v>
      </c>
      <c r="M40" s="38" t="str">
        <f t="array" ref="M40">IF(F40&gt;30%,"YES","NO")</f>
        <v>NO</v>
      </c>
      <c r="N40" s="39" t="str">
        <f t="array" ref="N40">IF(H40&lt;30%,"YES","NO")</f>
        <v>YES</v>
      </c>
      <c r="O40" s="37" t="str">
        <f t="shared" si="5"/>
        <v/>
      </c>
      <c r="P40" s="40" t="str">
        <f t="shared" si="6"/>
        <v>Small cap stocks</v>
      </c>
    </row>
    <row r="41">
      <c r="A41" s="4" t="s">
        <v>34</v>
      </c>
      <c r="B41" s="41">
        <v>74336.7630665</v>
      </c>
      <c r="C41" s="43">
        <v>786.05</v>
      </c>
      <c r="D41" s="43">
        <v>35.28</v>
      </c>
      <c r="E41" s="43">
        <v>1028.65</v>
      </c>
      <c r="F41" s="44">
        <v>0.2358430953191077</v>
      </c>
      <c r="G41" s="43">
        <v>655.7</v>
      </c>
      <c r="H41" s="44">
        <v>0.1987951807228914</v>
      </c>
      <c r="I41" s="43">
        <v>780.25</v>
      </c>
      <c r="J41" s="44">
        <v>0.007433514899070752</v>
      </c>
      <c r="K41" s="45" t="s">
        <v>239</v>
      </c>
      <c r="L41" s="45" t="s">
        <v>279</v>
      </c>
      <c r="M41" s="38" t="str">
        <f t="array" ref="M41">IF(F41&gt;30%,"YES","NO")</f>
        <v>NO</v>
      </c>
      <c r="N41" s="39" t="str">
        <f t="array" ref="N41">IF(H41&lt;30%,"YES","NO")</f>
        <v>YES</v>
      </c>
      <c r="O41" s="45" t="str">
        <f t="shared" si="5"/>
        <v/>
      </c>
      <c r="P41" s="40" t="str">
        <f t="shared" si="6"/>
        <v>Small cap stocks</v>
      </c>
    </row>
    <row r="42">
      <c r="A42" s="4" t="s">
        <v>207</v>
      </c>
      <c r="B42" s="34">
        <v>73698.477067</v>
      </c>
      <c r="C42" s="35">
        <v>1134.8</v>
      </c>
      <c r="D42" s="35">
        <v>51.22</v>
      </c>
      <c r="E42" s="35">
        <v>1432.05</v>
      </c>
      <c r="F42" s="36">
        <v>0.20756956810167243</v>
      </c>
      <c r="G42" s="35">
        <v>557.23</v>
      </c>
      <c r="H42" s="36">
        <v>1.036501983023168</v>
      </c>
      <c r="I42" s="35">
        <v>1187.3</v>
      </c>
      <c r="J42" s="36">
        <v>-0.04421797355344058</v>
      </c>
      <c r="K42" s="37" t="s">
        <v>280</v>
      </c>
      <c r="L42" s="37" t="s">
        <v>281</v>
      </c>
      <c r="M42" s="38" t="str">
        <f t="array" ref="M42">IF(F42&gt;30%,"YES","NO")</f>
        <v>NO</v>
      </c>
      <c r="N42" s="39" t="str">
        <f t="array" ref="N42">IF(H42&lt;30%,"YES","NO")</f>
        <v>NO</v>
      </c>
      <c r="O42" s="37" t="str">
        <f t="shared" si="5"/>
        <v>GOOD STOCK</v>
      </c>
      <c r="P42" s="40" t="str">
        <f t="shared" si="6"/>
        <v>Small cap stocks</v>
      </c>
    </row>
    <row r="43" hidden="1">
      <c r="A43" s="4" t="s">
        <v>51</v>
      </c>
      <c r="B43" s="41">
        <v>45155.21625</v>
      </c>
      <c r="C43" s="43">
        <v>13875.0</v>
      </c>
      <c r="D43" s="43"/>
      <c r="E43" s="43">
        <v>16466.4</v>
      </c>
      <c r="F43" s="44">
        <v>0.1573750182189186</v>
      </c>
      <c r="G43" s="43">
        <v>12751.0</v>
      </c>
      <c r="H43" s="44">
        <v>0.088149949023606</v>
      </c>
      <c r="I43" s="43">
        <v>13925.15</v>
      </c>
      <c r="J43" s="44">
        <v>-0.0036013974714814304</v>
      </c>
      <c r="K43" s="45" t="s">
        <v>254</v>
      </c>
      <c r="L43" s="45" t="s">
        <v>472</v>
      </c>
      <c r="M43" s="45"/>
      <c r="N43" s="45"/>
      <c r="O43" s="45"/>
      <c r="P43" s="45"/>
    </row>
    <row r="44">
      <c r="A44" s="4" t="s">
        <v>36</v>
      </c>
      <c r="B44" s="34">
        <v>73418.66784</v>
      </c>
      <c r="C44" s="35">
        <v>1167.55</v>
      </c>
      <c r="D44" s="35">
        <v>67.24</v>
      </c>
      <c r="E44" s="35">
        <v>1405.55</v>
      </c>
      <c r="F44" s="36">
        <v>0.16932873252463448</v>
      </c>
      <c r="G44" s="35">
        <v>1024.5</v>
      </c>
      <c r="H44" s="36">
        <v>0.1396290873596876</v>
      </c>
      <c r="I44" s="35">
        <v>1192.6</v>
      </c>
      <c r="J44" s="36">
        <v>-0.021004527922186784</v>
      </c>
      <c r="K44" s="37" t="s">
        <v>282</v>
      </c>
      <c r="L44" s="37" t="s">
        <v>283</v>
      </c>
      <c r="M44" s="38" t="str">
        <f t="array" ref="M44">IF(F44&gt;30%,"YES","NO")</f>
        <v>NO</v>
      </c>
      <c r="N44" s="39" t="str">
        <f t="array" ref="N44">IF(H44&lt;30%,"YES","NO")</f>
        <v>YES</v>
      </c>
      <c r="O44" s="37" t="str">
        <f>if(AND(D44&lt;65,M44="NO",N44="NO"),"GOOD STOCK","")</f>
        <v/>
      </c>
      <c r="P44" s="40" t="str">
        <f>ifs((B44/B$2)*100&gt;=60,"Large cap stocks",and((B44/B$2)*100&lt;60,(B44/B$2)*100&gt;40),"Medium cap stocks",(B44/B$2)*100&lt;40,"Small cap stocks")</f>
        <v>Small cap stocks</v>
      </c>
    </row>
    <row r="45" hidden="1">
      <c r="A45" s="4" t="s">
        <v>53</v>
      </c>
      <c r="B45" s="41">
        <v>36419.923269</v>
      </c>
      <c r="C45" s="43">
        <v>559.9</v>
      </c>
      <c r="D45" s="46" t="s">
        <v>15</v>
      </c>
      <c r="E45" s="43">
        <v>1147.4</v>
      </c>
      <c r="F45" s="44">
        <v>0.5120271919121493</v>
      </c>
      <c r="G45" s="43">
        <v>439.6</v>
      </c>
      <c r="H45" s="44">
        <v>0.2736578707916286</v>
      </c>
      <c r="I45" s="43">
        <v>542.25</v>
      </c>
      <c r="J45" s="44">
        <v>0.032549562010142884</v>
      </c>
      <c r="K45" s="45" t="s">
        <v>298</v>
      </c>
      <c r="L45" s="45" t="s">
        <v>473</v>
      </c>
      <c r="M45" s="45"/>
      <c r="N45" s="45"/>
      <c r="O45" s="45"/>
      <c r="P45" s="45"/>
    </row>
    <row r="46">
      <c r="A46" s="4" t="s">
        <v>38</v>
      </c>
      <c r="B46" s="34">
        <v>69898.9623697</v>
      </c>
      <c r="C46" s="35">
        <v>752.8</v>
      </c>
      <c r="D46" s="35">
        <v>65.04</v>
      </c>
      <c r="E46" s="35">
        <v>861.15</v>
      </c>
      <c r="F46" s="36">
        <v>0.12582012425245315</v>
      </c>
      <c r="G46" s="35">
        <v>650.2</v>
      </c>
      <c r="H46" s="36">
        <v>0.15779760073823423</v>
      </c>
      <c r="I46" s="35">
        <v>754.25</v>
      </c>
      <c r="J46" s="36">
        <v>-0.0019224395094465303</v>
      </c>
      <c r="K46" s="37" t="s">
        <v>235</v>
      </c>
      <c r="L46" s="37" t="s">
        <v>284</v>
      </c>
      <c r="M46" s="38" t="str">
        <f t="array" ref="M46">IF(F46&gt;30%,"YES","NO")</f>
        <v>NO</v>
      </c>
      <c r="N46" s="39" t="str">
        <f t="array" ref="N46">IF(H46&lt;30%,"YES","NO")</f>
        <v>YES</v>
      </c>
      <c r="O46" s="37" t="str">
        <f>if(AND(D46&lt;65,M46="NO",N46="NO"),"GOOD STOCK","")</f>
        <v/>
      </c>
      <c r="P46" s="40" t="str">
        <f>ifs((B46/B$2)*100&gt;=60,"Large cap stocks",and((B46/B$2)*100&lt;60,(B46/B$2)*100&gt;40),"Medium cap stocks",(B46/B$2)*100&lt;40,"Small cap stocks")</f>
        <v>Small cap stocks</v>
      </c>
    </row>
    <row r="47" hidden="1">
      <c r="A47" s="4" t="s">
        <v>55</v>
      </c>
      <c r="B47" s="41">
        <v>43190.429962</v>
      </c>
      <c r="C47" s="43">
        <v>146.95</v>
      </c>
      <c r="D47" s="43">
        <v>227.06</v>
      </c>
      <c r="E47" s="43">
        <v>169.45</v>
      </c>
      <c r="F47" s="44">
        <v>0.13278253172027146</v>
      </c>
      <c r="G47" s="43">
        <v>93.2</v>
      </c>
      <c r="H47" s="44">
        <v>0.5767167381974247</v>
      </c>
      <c r="I47" s="43">
        <v>146.8</v>
      </c>
      <c r="J47" s="44">
        <v>0.0010217983651224609</v>
      </c>
      <c r="K47" s="45" t="s">
        <v>252</v>
      </c>
      <c r="L47" s="45" t="s">
        <v>474</v>
      </c>
      <c r="M47" s="45"/>
      <c r="N47" s="45"/>
      <c r="O47" s="45"/>
      <c r="P47" s="45"/>
    </row>
    <row r="48">
      <c r="A48" s="4" t="s">
        <v>188</v>
      </c>
      <c r="B48" s="34">
        <v>67468.3198772</v>
      </c>
      <c r="C48" s="35">
        <v>468.9</v>
      </c>
      <c r="D48" s="35">
        <v>78.92</v>
      </c>
      <c r="E48" s="35">
        <v>648.85</v>
      </c>
      <c r="F48" s="36">
        <v>0.27733682669338067</v>
      </c>
      <c r="G48" s="35">
        <v>430.0</v>
      </c>
      <c r="H48" s="36">
        <v>0.09046511627906971</v>
      </c>
      <c r="I48" s="35">
        <v>464.7</v>
      </c>
      <c r="J48" s="36">
        <v>0.00903808908973529</v>
      </c>
      <c r="K48" s="37" t="s">
        <v>240</v>
      </c>
      <c r="L48" s="37" t="s">
        <v>285</v>
      </c>
      <c r="M48" s="38" t="str">
        <f t="array" ref="M48">IF(F48&gt;30%,"YES","NO")</f>
        <v>NO</v>
      </c>
      <c r="N48" s="39" t="str">
        <f t="array" ref="N48">IF(H48&lt;30%,"YES","NO")</f>
        <v>YES</v>
      </c>
      <c r="O48" s="37" t="str">
        <f t="shared" ref="O48:O52" si="7">if(AND(D48&lt;65,M48="NO",N48="NO"),"GOOD STOCK","")</f>
        <v/>
      </c>
      <c r="P48" s="40" t="str">
        <f t="shared" ref="P48:P52" si="8">ifs((B48/B$2)*100&gt;=60,"Large cap stocks",and((B48/B$2)*100&lt;60,(B48/B$2)*100&gt;40),"Medium cap stocks",(B48/B$2)*100&lt;40,"Small cap stocks")</f>
        <v>Small cap stocks</v>
      </c>
    </row>
    <row r="49">
      <c r="A49" s="4" t="s">
        <v>39</v>
      </c>
      <c r="B49" s="41">
        <v>66015.7769553</v>
      </c>
      <c r="C49" s="43">
        <v>206.55</v>
      </c>
      <c r="D49" s="43">
        <v>25.89</v>
      </c>
      <c r="E49" s="43">
        <v>298.0</v>
      </c>
      <c r="F49" s="44">
        <v>0.30687919463087243</v>
      </c>
      <c r="G49" s="43">
        <v>190.0</v>
      </c>
      <c r="H49" s="44">
        <v>0.0871052631578948</v>
      </c>
      <c r="I49" s="43">
        <v>205.65</v>
      </c>
      <c r="J49" s="44">
        <v>0.0043763676148796775</v>
      </c>
      <c r="K49" s="45" t="s">
        <v>247</v>
      </c>
      <c r="L49" s="45" t="s">
        <v>286</v>
      </c>
      <c r="M49" s="38" t="str">
        <f t="array" ref="M49">IF(F49&gt;30%,"YES","NO")</f>
        <v>YES</v>
      </c>
      <c r="N49" s="39" t="str">
        <f t="array" ref="N49">IF(H49&lt;30%,"YES","NO")</f>
        <v>YES</v>
      </c>
      <c r="O49" s="45" t="str">
        <f t="shared" si="7"/>
        <v/>
      </c>
      <c r="P49" s="40" t="str">
        <f t="shared" si="8"/>
        <v>Small cap stocks</v>
      </c>
    </row>
    <row r="50">
      <c r="A50" s="4" t="s">
        <v>40</v>
      </c>
      <c r="B50" s="34">
        <v>64133.35</v>
      </c>
      <c r="C50" s="35">
        <v>497.5</v>
      </c>
      <c r="D50" s="35">
        <v>52.21</v>
      </c>
      <c r="E50" s="35">
        <v>554.35</v>
      </c>
      <c r="F50" s="36">
        <v>0.10255253900965097</v>
      </c>
      <c r="G50" s="35">
        <v>455.65</v>
      </c>
      <c r="H50" s="36">
        <v>0.0918468122462417</v>
      </c>
      <c r="I50" s="35">
        <v>501.6</v>
      </c>
      <c r="J50" s="36">
        <v>-0.008173843700159535</v>
      </c>
      <c r="K50" s="37" t="s">
        <v>235</v>
      </c>
      <c r="L50" s="37" t="s">
        <v>287</v>
      </c>
      <c r="M50" s="38" t="str">
        <f t="array" ref="M50">IF(F50&gt;30%,"YES","NO")</f>
        <v>NO</v>
      </c>
      <c r="N50" s="39" t="str">
        <f t="array" ref="N50">IF(H50&lt;30%,"YES","NO")</f>
        <v>YES</v>
      </c>
      <c r="O50" s="37" t="str">
        <f t="shared" si="7"/>
        <v/>
      </c>
      <c r="P50" s="40" t="str">
        <f t="shared" si="8"/>
        <v>Small cap stocks</v>
      </c>
    </row>
    <row r="51">
      <c r="A51" s="4" t="s">
        <v>191</v>
      </c>
      <c r="B51" s="41">
        <v>61484.38668</v>
      </c>
      <c r="C51" s="43">
        <v>846.75</v>
      </c>
      <c r="D51" s="43">
        <v>46.19</v>
      </c>
      <c r="E51" s="43">
        <v>958.0</v>
      </c>
      <c r="F51" s="44">
        <v>0.11612734864300626</v>
      </c>
      <c r="G51" s="43">
        <v>712.0</v>
      </c>
      <c r="H51" s="44">
        <v>0.1892556179775281</v>
      </c>
      <c r="I51" s="43">
        <v>857.75</v>
      </c>
      <c r="J51" s="44">
        <v>-0.012824249489944622</v>
      </c>
      <c r="K51" s="45" t="s">
        <v>288</v>
      </c>
      <c r="L51" s="45" t="s">
        <v>289</v>
      </c>
      <c r="M51" s="38" t="str">
        <f t="array" ref="M51">IF(F51&gt;30%,"YES","NO")</f>
        <v>NO</v>
      </c>
      <c r="N51" s="39" t="str">
        <f t="array" ref="N51">IF(H51&lt;30%,"YES","NO")</f>
        <v>YES</v>
      </c>
      <c r="O51" s="45" t="str">
        <f t="shared" si="7"/>
        <v/>
      </c>
      <c r="P51" s="40" t="str">
        <f t="shared" si="8"/>
        <v>Small cap stocks</v>
      </c>
    </row>
    <row r="52">
      <c r="A52" s="4" t="s">
        <v>197</v>
      </c>
      <c r="B52" s="34">
        <v>57937.9387031</v>
      </c>
      <c r="C52" s="35">
        <v>20.15</v>
      </c>
      <c r="D52" s="35">
        <v>45.52</v>
      </c>
      <c r="E52" s="35">
        <v>24.75</v>
      </c>
      <c r="F52" s="36">
        <v>0.18585858585858592</v>
      </c>
      <c r="G52" s="35">
        <v>12.11</v>
      </c>
      <c r="H52" s="36">
        <v>0.6639141205615193</v>
      </c>
      <c r="I52" s="35">
        <v>19.9</v>
      </c>
      <c r="J52" s="36">
        <v>0.01256281407035176</v>
      </c>
      <c r="K52" s="37" t="e">
        <v>#N/A</v>
      </c>
      <c r="L52" s="37" t="e">
        <v>#N/A</v>
      </c>
      <c r="M52" s="38" t="str">
        <f t="array" ref="M52">IF(F52&gt;30%,"YES","NO")</f>
        <v>NO</v>
      </c>
      <c r="N52" s="39" t="str">
        <f t="array" ref="N52">IF(H52&lt;30%,"YES","NO")</f>
        <v>NO</v>
      </c>
      <c r="O52" s="37" t="str">
        <f t="shared" si="7"/>
        <v>GOOD STOCK</v>
      </c>
      <c r="P52" s="40" t="str">
        <f t="shared" si="8"/>
        <v>Small cap stocks</v>
      </c>
    </row>
    <row r="53" hidden="1">
      <c r="A53" s="4" t="s">
        <v>61</v>
      </c>
      <c r="B53" s="41">
        <v>42896.5939675</v>
      </c>
      <c r="C53" s="43">
        <v>1205.75</v>
      </c>
      <c r="D53" s="43">
        <v>117.93</v>
      </c>
      <c r="E53" s="43">
        <v>1571.0</v>
      </c>
      <c r="F53" s="44">
        <v>0.23249522597071928</v>
      </c>
      <c r="G53" s="43">
        <v>983.7</v>
      </c>
      <c r="H53" s="44">
        <v>0.22572938904137435</v>
      </c>
      <c r="I53" s="43">
        <v>1208.55</v>
      </c>
      <c r="J53" s="44">
        <v>-0.0023168259484505852</v>
      </c>
      <c r="K53" s="45" t="s">
        <v>257</v>
      </c>
      <c r="L53" s="45" t="s">
        <v>475</v>
      </c>
      <c r="M53" s="45"/>
      <c r="N53" s="45"/>
      <c r="O53" s="45"/>
      <c r="P53" s="45"/>
    </row>
    <row r="54">
      <c r="A54" s="4" t="s">
        <v>41</v>
      </c>
      <c r="B54" s="34">
        <v>54643.2617004</v>
      </c>
      <c r="C54" s="35">
        <v>564.0</v>
      </c>
      <c r="D54" s="35">
        <v>57.95</v>
      </c>
      <c r="E54" s="35">
        <v>793.05</v>
      </c>
      <c r="F54" s="36">
        <v>0.2888216379799508</v>
      </c>
      <c r="G54" s="35">
        <v>543.6</v>
      </c>
      <c r="H54" s="36">
        <v>0.0375275938189845</v>
      </c>
      <c r="I54" s="35">
        <v>561.95</v>
      </c>
      <c r="J54" s="36">
        <v>0.0036480113889135234</v>
      </c>
      <c r="K54" s="37" t="s">
        <v>250</v>
      </c>
      <c r="L54" s="37" t="s">
        <v>290</v>
      </c>
      <c r="M54" s="38" t="str">
        <f t="array" ref="M54">IF(F54&gt;30%,"YES","NO")</f>
        <v>NO</v>
      </c>
      <c r="N54" s="39" t="str">
        <f t="array" ref="N54">IF(H54&lt;30%,"YES","NO")</f>
        <v>YES</v>
      </c>
      <c r="O54" s="37" t="str">
        <f t="shared" ref="O54:O63" si="9">if(AND(D54&lt;65,M54="NO",N54="NO"),"GOOD STOCK","")</f>
        <v/>
      </c>
      <c r="P54" s="40" t="str">
        <f t="shared" ref="P54:P63" si="10">ifs((B54/B$2)*100&gt;=60,"Large cap stocks",and((B54/B$2)*100&lt;60,(B54/B$2)*100&gt;40),"Medium cap stocks",(B54/B$2)*100&lt;40,"Small cap stocks")</f>
        <v>Small cap stocks</v>
      </c>
    </row>
    <row r="55">
      <c r="A55" s="4" t="s">
        <v>43</v>
      </c>
      <c r="B55" s="41">
        <v>54522.74</v>
      </c>
      <c r="C55" s="43">
        <v>2732.0</v>
      </c>
      <c r="D55" s="43">
        <v>21.06</v>
      </c>
      <c r="E55" s="43">
        <v>2938.6</v>
      </c>
      <c r="F55" s="44">
        <v>0.07030558769482063</v>
      </c>
      <c r="G55" s="43">
        <v>2146.85</v>
      </c>
      <c r="H55" s="44">
        <v>0.27256212590539636</v>
      </c>
      <c r="I55" s="43">
        <v>2694.25</v>
      </c>
      <c r="J55" s="44">
        <v>0.014011320404565278</v>
      </c>
      <c r="K55" s="45" t="s">
        <v>252</v>
      </c>
      <c r="L55" s="45" t="s">
        <v>291</v>
      </c>
      <c r="M55" s="38" t="str">
        <f t="array" ref="M55">IF(F55&gt;30%,"YES","NO")</f>
        <v>NO</v>
      </c>
      <c r="N55" s="39" t="str">
        <f t="array" ref="N55">IF(H55&lt;30%,"YES","NO")</f>
        <v>YES</v>
      </c>
      <c r="O55" s="45" t="str">
        <f t="shared" si="9"/>
        <v/>
      </c>
      <c r="P55" s="40" t="str">
        <f t="shared" si="10"/>
        <v>Small cap stocks</v>
      </c>
    </row>
    <row r="56">
      <c r="A56" s="4" t="s">
        <v>47</v>
      </c>
      <c r="B56" s="34">
        <v>53833.6605806</v>
      </c>
      <c r="C56" s="35">
        <v>718.45</v>
      </c>
      <c r="D56" s="35">
        <v>13.58</v>
      </c>
      <c r="E56" s="35">
        <v>848.0</v>
      </c>
      <c r="F56" s="36">
        <v>0.15277122641509427</v>
      </c>
      <c r="G56" s="35">
        <v>607.8</v>
      </c>
      <c r="H56" s="36">
        <v>0.18205001645278068</v>
      </c>
      <c r="I56" s="35">
        <v>719.05</v>
      </c>
      <c r="J56" s="36">
        <v>-8.344343230650289E-4</v>
      </c>
      <c r="K56" s="37" t="s">
        <v>292</v>
      </c>
      <c r="L56" s="37" t="s">
        <v>293</v>
      </c>
      <c r="M56" s="38" t="str">
        <f t="array" ref="M56">IF(F56&gt;30%,"YES","NO")</f>
        <v>NO</v>
      </c>
      <c r="N56" s="39" t="str">
        <f t="array" ref="N56">IF(H56&lt;30%,"YES","NO")</f>
        <v>YES</v>
      </c>
      <c r="O56" s="37" t="str">
        <f t="shared" si="9"/>
        <v/>
      </c>
      <c r="P56" s="40" t="str">
        <f t="shared" si="10"/>
        <v>Small cap stocks</v>
      </c>
    </row>
    <row r="57">
      <c r="A57" s="4" t="s">
        <v>42</v>
      </c>
      <c r="B57" s="41">
        <v>52280.0813339</v>
      </c>
      <c r="C57" s="43">
        <v>77.15</v>
      </c>
      <c r="D57" s="43">
        <v>67.22</v>
      </c>
      <c r="E57" s="43">
        <v>165.03</v>
      </c>
      <c r="F57" s="44">
        <v>0.5325092407441071</v>
      </c>
      <c r="G57" s="43">
        <v>61.85</v>
      </c>
      <c r="H57" s="44">
        <v>0.2473726758286177</v>
      </c>
      <c r="I57" s="43">
        <v>78.15</v>
      </c>
      <c r="J57" s="44">
        <v>-0.012795905310300703</v>
      </c>
      <c r="K57" s="45" t="s">
        <v>294</v>
      </c>
      <c r="L57" s="45" t="s">
        <v>295</v>
      </c>
      <c r="M57" s="38" t="str">
        <f t="array" ref="M57">IF(F57&gt;30%,"YES","NO")</f>
        <v>YES</v>
      </c>
      <c r="N57" s="39" t="str">
        <f t="array" ref="N57">IF(H57&lt;30%,"YES","NO")</f>
        <v>YES</v>
      </c>
      <c r="O57" s="45" t="str">
        <f t="shared" si="9"/>
        <v/>
      </c>
      <c r="P57" s="40" t="str">
        <f t="shared" si="10"/>
        <v>Small cap stocks</v>
      </c>
    </row>
    <row r="58">
      <c r="A58" s="4" t="s">
        <v>48</v>
      </c>
      <c r="B58" s="34">
        <v>51348.0038553</v>
      </c>
      <c r="C58" s="35">
        <v>641.0</v>
      </c>
      <c r="D58" s="35">
        <v>57.32</v>
      </c>
      <c r="E58" s="35">
        <v>918.65</v>
      </c>
      <c r="F58" s="36">
        <v>0.3022369781744952</v>
      </c>
      <c r="G58" s="35">
        <v>557.0</v>
      </c>
      <c r="H58" s="36">
        <v>0.15080789946140036</v>
      </c>
      <c r="I58" s="35">
        <v>640.65</v>
      </c>
      <c r="J58" s="36">
        <v>5.463201436041876E-4</v>
      </c>
      <c r="K58" s="37" t="s">
        <v>296</v>
      </c>
      <c r="L58" s="37" t="s">
        <v>48</v>
      </c>
      <c r="M58" s="38" t="str">
        <f t="array" ref="M58">IF(F58&gt;30%,"YES","NO")</f>
        <v>YES</v>
      </c>
      <c r="N58" s="39" t="str">
        <f t="array" ref="N58">IF(H58&lt;30%,"YES","NO")</f>
        <v>YES</v>
      </c>
      <c r="O58" s="37" t="str">
        <f t="shared" si="9"/>
        <v/>
      </c>
      <c r="P58" s="40" t="str">
        <f t="shared" si="10"/>
        <v>Small cap stocks</v>
      </c>
    </row>
    <row r="59">
      <c r="A59" s="4" t="s">
        <v>59</v>
      </c>
      <c r="B59" s="41">
        <v>49475.63474</v>
      </c>
      <c r="C59" s="43">
        <v>3262.0</v>
      </c>
      <c r="D59" s="43">
        <v>48.33</v>
      </c>
      <c r="E59" s="43">
        <v>3698.45</v>
      </c>
      <c r="F59" s="44">
        <v>0.11800889561843471</v>
      </c>
      <c r="G59" s="43">
        <v>2333.55</v>
      </c>
      <c r="H59" s="44">
        <v>0.39787019776735005</v>
      </c>
      <c r="I59" s="43">
        <v>3292.65</v>
      </c>
      <c r="J59" s="44">
        <v>-0.009308611604634592</v>
      </c>
      <c r="K59" s="45" t="s">
        <v>292</v>
      </c>
      <c r="L59" s="45" t="s">
        <v>297</v>
      </c>
      <c r="M59" s="38" t="str">
        <f t="array" ref="M59">IF(F59&gt;30%,"YES","NO")</f>
        <v>NO</v>
      </c>
      <c r="N59" s="39" t="str">
        <f t="array" ref="N59">IF(H59&lt;30%,"YES","NO")</f>
        <v>NO</v>
      </c>
      <c r="O59" s="45" t="str">
        <f t="shared" si="9"/>
        <v>GOOD STOCK</v>
      </c>
      <c r="P59" s="40" t="str">
        <f t="shared" si="10"/>
        <v>Small cap stocks</v>
      </c>
    </row>
    <row r="60">
      <c r="A60" s="4" t="s">
        <v>45</v>
      </c>
      <c r="B60" s="34">
        <v>48135.11</v>
      </c>
      <c r="C60" s="35">
        <v>3731.8</v>
      </c>
      <c r="D60" s="35">
        <v>8.76</v>
      </c>
      <c r="E60" s="35">
        <v>5790.0</v>
      </c>
      <c r="F60" s="36">
        <v>0.35547495682210706</v>
      </c>
      <c r="G60" s="35">
        <v>3314.0</v>
      </c>
      <c r="H60" s="36">
        <v>0.12607121303560656</v>
      </c>
      <c r="I60" s="35">
        <v>3719.3</v>
      </c>
      <c r="J60" s="36">
        <v>0.0033608474712983625</v>
      </c>
      <c r="K60" s="37" t="s">
        <v>298</v>
      </c>
      <c r="L60" s="37" t="s">
        <v>299</v>
      </c>
      <c r="M60" s="38" t="str">
        <f t="array" ref="M60">IF(F60&gt;30%,"YES","NO")</f>
        <v>YES</v>
      </c>
      <c r="N60" s="39" t="str">
        <f t="array" ref="N60">IF(H60&lt;30%,"YES","NO")</f>
        <v>YES</v>
      </c>
      <c r="O60" s="37" t="str">
        <f t="shared" si="9"/>
        <v/>
      </c>
      <c r="P60" s="40" t="str">
        <f t="shared" si="10"/>
        <v>Small cap stocks</v>
      </c>
    </row>
    <row r="61">
      <c r="A61" s="4" t="s">
        <v>60</v>
      </c>
      <c r="B61" s="41">
        <v>47610.86</v>
      </c>
      <c r="C61" s="43">
        <v>999.5</v>
      </c>
      <c r="D61" s="43">
        <v>39.03</v>
      </c>
      <c r="E61" s="43">
        <v>1177.0</v>
      </c>
      <c r="F61" s="44">
        <v>0.1508071367884452</v>
      </c>
      <c r="G61" s="43">
        <v>513.0</v>
      </c>
      <c r="H61" s="44">
        <v>0.9483430799220273</v>
      </c>
      <c r="I61" s="43">
        <v>1005.2</v>
      </c>
      <c r="J61" s="44">
        <v>-0.005670513330680507</v>
      </c>
      <c r="K61" s="45" t="s">
        <v>252</v>
      </c>
      <c r="L61" s="45" t="s">
        <v>300</v>
      </c>
      <c r="M61" s="38" t="str">
        <f t="array" ref="M61">IF(F61&gt;30%,"YES","NO")</f>
        <v>NO</v>
      </c>
      <c r="N61" s="39" t="str">
        <f t="array" ref="N61">IF(H61&lt;30%,"YES","NO")</f>
        <v>NO</v>
      </c>
      <c r="O61" s="45" t="str">
        <f t="shared" si="9"/>
        <v>GOOD STOCK</v>
      </c>
      <c r="P61" s="40" t="str">
        <f t="shared" si="10"/>
        <v>Small cap stocks</v>
      </c>
    </row>
    <row r="62">
      <c r="A62" s="4" t="s">
        <v>176</v>
      </c>
      <c r="B62" s="34">
        <v>47348.12</v>
      </c>
      <c r="C62" s="35">
        <v>22241.0</v>
      </c>
      <c r="D62" s="35">
        <v>53.6</v>
      </c>
      <c r="E62" s="35">
        <v>22499.0</v>
      </c>
      <c r="F62" s="36">
        <v>0.011467176318947508</v>
      </c>
      <c r="G62" s="35">
        <v>15514.0</v>
      </c>
      <c r="H62" s="36">
        <v>0.4336083537450045</v>
      </c>
      <c r="I62" s="35">
        <v>22162.55</v>
      </c>
      <c r="J62" s="36">
        <v>0.0035397551274560343</v>
      </c>
      <c r="K62" s="37" t="s">
        <v>254</v>
      </c>
      <c r="L62" s="37" t="s">
        <v>301</v>
      </c>
      <c r="M62" s="38" t="str">
        <f t="array" ref="M62">IF(F62&gt;30%,"YES","NO")</f>
        <v>NO</v>
      </c>
      <c r="N62" s="39" t="str">
        <f t="array" ref="N62">IF(H62&lt;30%,"YES","NO")</f>
        <v>NO</v>
      </c>
      <c r="O62" s="37" t="str">
        <f t="shared" si="9"/>
        <v>GOOD STOCK</v>
      </c>
      <c r="P62" s="40" t="str">
        <f t="shared" si="10"/>
        <v>Small cap stocks</v>
      </c>
    </row>
    <row r="63">
      <c r="A63" s="4" t="s">
        <v>58</v>
      </c>
      <c r="B63" s="41">
        <v>45934.43</v>
      </c>
      <c r="C63" s="43">
        <v>2148.0</v>
      </c>
      <c r="D63" s="43">
        <v>33.2</v>
      </c>
      <c r="E63" s="43">
        <v>2507.35</v>
      </c>
      <c r="F63" s="44">
        <v>0.14331864318902424</v>
      </c>
      <c r="G63" s="43">
        <v>1690.0</v>
      </c>
      <c r="H63" s="44">
        <v>0.2710059171597633</v>
      </c>
      <c r="I63" s="43">
        <v>2150.75</v>
      </c>
      <c r="J63" s="44">
        <v>-0.0012786237359060793</v>
      </c>
      <c r="K63" s="45" t="s">
        <v>302</v>
      </c>
      <c r="L63" s="45" t="s">
        <v>303</v>
      </c>
      <c r="M63" s="38" t="str">
        <f t="array" ref="M63">IF(F63&gt;30%,"YES","NO")</f>
        <v>NO</v>
      </c>
      <c r="N63" s="39" t="str">
        <f t="array" ref="N63">IF(H63&lt;30%,"YES","NO")</f>
        <v>YES</v>
      </c>
      <c r="O63" s="45" t="str">
        <f t="shared" si="9"/>
        <v/>
      </c>
      <c r="P63" s="40" t="str">
        <f t="shared" si="10"/>
        <v>Small cap stocks</v>
      </c>
    </row>
    <row r="64" hidden="1">
      <c r="A64" s="4" t="s">
        <v>72</v>
      </c>
      <c r="B64" s="34">
        <v>20673.2633944</v>
      </c>
      <c r="C64" s="35"/>
      <c r="D64" s="49" t="s">
        <v>15</v>
      </c>
      <c r="E64" s="35">
        <v>1052.05</v>
      </c>
      <c r="F64" s="36" t="e">
        <v>#REF!</v>
      </c>
      <c r="G64" s="35">
        <v>356.2</v>
      </c>
      <c r="H64" s="36" t="e">
        <v>#REF!</v>
      </c>
      <c r="I64" s="35">
        <v>465.85</v>
      </c>
      <c r="J64" s="36"/>
      <c r="K64" s="37" t="s">
        <v>298</v>
      </c>
      <c r="L64" s="37" t="s">
        <v>476</v>
      </c>
      <c r="M64" s="37"/>
      <c r="N64" s="37"/>
      <c r="O64" s="37"/>
      <c r="P64" s="37"/>
    </row>
    <row r="65">
      <c r="A65" s="4" t="s">
        <v>50</v>
      </c>
      <c r="B65" s="41">
        <v>44894.62</v>
      </c>
      <c r="C65" s="43">
        <v>40260.0</v>
      </c>
      <c r="D65" s="43">
        <v>61.16</v>
      </c>
      <c r="E65" s="43">
        <v>54349.1</v>
      </c>
      <c r="F65" s="44">
        <v>0.2592333635699579</v>
      </c>
      <c r="G65" s="43">
        <v>37825.0</v>
      </c>
      <c r="H65" s="44">
        <v>0.06437541308658294</v>
      </c>
      <c r="I65" s="43">
        <v>40639.05</v>
      </c>
      <c r="J65" s="44">
        <v>-0.009327235749851507</v>
      </c>
      <c r="K65" s="45" t="s">
        <v>304</v>
      </c>
      <c r="L65" s="45" t="s">
        <v>305</v>
      </c>
      <c r="M65" s="38" t="str">
        <f t="array" ref="M65">IF(F65&gt;30%,"YES","NO")</f>
        <v>NO</v>
      </c>
      <c r="N65" s="39" t="str">
        <f t="array" ref="N65">IF(H65&lt;30%,"YES","NO")</f>
        <v>YES</v>
      </c>
      <c r="O65" s="45" t="str">
        <f t="shared" ref="O65:O67" si="11">if(AND(D65&lt;65,M65="NO",N65="NO"),"GOOD STOCK","")</f>
        <v/>
      </c>
      <c r="P65" s="40" t="str">
        <f t="shared" ref="P65:P67" si="12">ifs((B65/B$2)*100&gt;=60,"Large cap stocks",and((B65/B$2)*100&lt;60,(B65/B$2)*100&gt;40),"Medium cap stocks",(B65/B$2)*100&lt;40,"Small cap stocks")</f>
        <v>Small cap stocks</v>
      </c>
    </row>
    <row r="66">
      <c r="A66" s="4" t="s">
        <v>54</v>
      </c>
      <c r="B66" s="34">
        <v>43195.8704177</v>
      </c>
      <c r="C66" s="35">
        <v>2229.0</v>
      </c>
      <c r="D66" s="35">
        <v>30.72</v>
      </c>
      <c r="E66" s="35">
        <v>2537.45</v>
      </c>
      <c r="F66" s="36">
        <v>0.12155904549843341</v>
      </c>
      <c r="G66" s="35">
        <v>1690.55</v>
      </c>
      <c r="H66" s="36">
        <v>0.31850581171807996</v>
      </c>
      <c r="I66" s="35">
        <v>2214.25</v>
      </c>
      <c r="J66" s="36">
        <v>0.0066613977644800725</v>
      </c>
      <c r="K66" s="37" t="s">
        <v>306</v>
      </c>
      <c r="L66" s="37" t="s">
        <v>307</v>
      </c>
      <c r="M66" s="38" t="str">
        <f t="array" ref="M66">IF(F66&gt;30%,"YES","NO")</f>
        <v>NO</v>
      </c>
      <c r="N66" s="39" t="str">
        <f t="array" ref="N66">IF(H66&lt;30%,"YES","NO")</f>
        <v>NO</v>
      </c>
      <c r="O66" s="37" t="str">
        <f t="shared" si="11"/>
        <v>GOOD STOCK</v>
      </c>
      <c r="P66" s="40" t="str">
        <f t="shared" si="12"/>
        <v>Small cap stocks</v>
      </c>
    </row>
    <row r="67">
      <c r="A67" s="4" t="s">
        <v>57</v>
      </c>
      <c r="B67" s="41">
        <v>42833.63</v>
      </c>
      <c r="C67" s="43">
        <v>1625.0</v>
      </c>
      <c r="D67" s="43">
        <v>78.07</v>
      </c>
      <c r="E67" s="43">
        <v>1806.45</v>
      </c>
      <c r="F67" s="44">
        <v>0.10044562539787984</v>
      </c>
      <c r="G67" s="43">
        <v>1274.5</v>
      </c>
      <c r="H67" s="44">
        <v>0.2750098077677521</v>
      </c>
      <c r="I67" s="43">
        <v>1644.15</v>
      </c>
      <c r="J67" s="44">
        <v>-0.011647355776541125</v>
      </c>
      <c r="K67" s="45" t="s">
        <v>288</v>
      </c>
      <c r="L67" s="45" t="s">
        <v>308</v>
      </c>
      <c r="M67" s="38" t="str">
        <f t="array" ref="M67">IF(F67&gt;30%,"YES","NO")</f>
        <v>NO</v>
      </c>
      <c r="N67" s="39" t="str">
        <f t="array" ref="N67">IF(H67&lt;30%,"YES","NO")</f>
        <v>YES</v>
      </c>
      <c r="O67" s="45" t="str">
        <f t="shared" si="11"/>
        <v/>
      </c>
      <c r="P67" s="40" t="str">
        <f t="shared" si="12"/>
        <v>Small cap stocks</v>
      </c>
    </row>
    <row r="68" hidden="1">
      <c r="A68" s="4" t="s">
        <v>76</v>
      </c>
      <c r="B68" s="34">
        <v>22202.96</v>
      </c>
      <c r="C68" s="35">
        <v>892.35</v>
      </c>
      <c r="D68" s="35">
        <v>114.44</v>
      </c>
      <c r="E68" s="35">
        <v>1369.7</v>
      </c>
      <c r="F68" s="36">
        <v>0.34850697232970723</v>
      </c>
      <c r="G68" s="35">
        <v>872.0</v>
      </c>
      <c r="H68" s="36">
        <v>0.02333715596330278</v>
      </c>
      <c r="I68" s="35">
        <v>898.2</v>
      </c>
      <c r="J68" s="36">
        <v>-0.006513026052104233</v>
      </c>
      <c r="K68" s="37" t="s">
        <v>361</v>
      </c>
      <c r="L68" s="37" t="s">
        <v>477</v>
      </c>
      <c r="M68" s="37"/>
      <c r="N68" s="37"/>
      <c r="O68" s="37"/>
      <c r="P68" s="37"/>
    </row>
    <row r="69">
      <c r="A69" s="4" t="s">
        <v>56</v>
      </c>
      <c r="B69" s="41">
        <v>42774.19916</v>
      </c>
      <c r="C69" s="43">
        <v>1065.5</v>
      </c>
      <c r="D69" s="43">
        <v>11.41</v>
      </c>
      <c r="E69" s="43">
        <v>1526.4</v>
      </c>
      <c r="F69" s="44">
        <v>0.3019523060796646</v>
      </c>
      <c r="G69" s="43">
        <v>950.2</v>
      </c>
      <c r="H69" s="44">
        <v>0.1213428751841717</v>
      </c>
      <c r="I69" s="43">
        <v>1063.3</v>
      </c>
      <c r="J69" s="44">
        <v>0.0020690303771278523</v>
      </c>
      <c r="K69" s="45" t="s">
        <v>244</v>
      </c>
      <c r="L69" s="45" t="s">
        <v>309</v>
      </c>
      <c r="M69" s="38" t="str">
        <f t="array" ref="M69">IF(F69&gt;30%,"YES","NO")</f>
        <v>YES</v>
      </c>
      <c r="N69" s="39" t="str">
        <f t="array" ref="N69">IF(H69&lt;30%,"YES","NO")</f>
        <v>YES</v>
      </c>
      <c r="O69" s="45" t="str">
        <f t="shared" ref="O69:O82" si="13">if(AND(D69&lt;65,M69="NO",N69="NO"),"GOOD STOCK","")</f>
        <v/>
      </c>
      <c r="P69" s="40" t="str">
        <f t="shared" ref="P69:P82" si="14">ifs((B69/B$2)*100&gt;=60,"Large cap stocks",and((B69/B$2)*100&lt;60,(B69/B$2)*100&gt;40),"Medium cap stocks",(B69/B$2)*100&lt;40,"Small cap stocks")</f>
        <v>Small cap stocks</v>
      </c>
    </row>
    <row r="70">
      <c r="A70" s="4" t="s">
        <v>212</v>
      </c>
      <c r="B70" s="34">
        <v>41307.1280064</v>
      </c>
      <c r="C70" s="35">
        <v>619.0</v>
      </c>
      <c r="D70" s="35">
        <v>31.44</v>
      </c>
      <c r="E70" s="35">
        <v>732.98</v>
      </c>
      <c r="F70" s="36">
        <v>0.15550219651286531</v>
      </c>
      <c r="G70" s="35">
        <v>525.0</v>
      </c>
      <c r="H70" s="36">
        <v>0.17904761904761904</v>
      </c>
      <c r="I70" s="35">
        <v>628.15</v>
      </c>
      <c r="J70" s="36">
        <v>-0.014566584414550629</v>
      </c>
      <c r="K70" s="37" t="s">
        <v>310</v>
      </c>
      <c r="L70" s="37" t="s">
        <v>311</v>
      </c>
      <c r="M70" s="38" t="str">
        <f t="array" ref="M70">IF(F70&gt;30%,"YES","NO")</f>
        <v>NO</v>
      </c>
      <c r="N70" s="39" t="str">
        <f t="array" ref="N70">IF(H70&lt;30%,"YES","NO")</f>
        <v>YES</v>
      </c>
      <c r="O70" s="37" t="str">
        <f t="shared" si="13"/>
        <v/>
      </c>
      <c r="P70" s="40" t="str">
        <f t="shared" si="14"/>
        <v>Small cap stocks</v>
      </c>
    </row>
    <row r="71">
      <c r="A71" s="4" t="s">
        <v>63</v>
      </c>
      <c r="B71" s="41">
        <v>41248.67</v>
      </c>
      <c r="C71" s="43">
        <v>2046.5</v>
      </c>
      <c r="D71" s="43">
        <v>96.08</v>
      </c>
      <c r="E71" s="43">
        <v>2654.8</v>
      </c>
      <c r="F71" s="44">
        <v>0.22913213801416307</v>
      </c>
      <c r="G71" s="43">
        <v>1581.55</v>
      </c>
      <c r="H71" s="44">
        <v>0.2939837501185546</v>
      </c>
      <c r="I71" s="43">
        <v>2063.75</v>
      </c>
      <c r="J71" s="44">
        <v>-0.008358570563294972</v>
      </c>
      <c r="K71" s="45" t="s">
        <v>312</v>
      </c>
      <c r="L71" s="45" t="s">
        <v>313</v>
      </c>
      <c r="M71" s="38" t="str">
        <f t="array" ref="M71">IF(F71&gt;30%,"YES","NO")</f>
        <v>NO</v>
      </c>
      <c r="N71" s="39" t="str">
        <f t="array" ref="N71">IF(H71&lt;30%,"YES","NO")</f>
        <v>YES</v>
      </c>
      <c r="O71" s="45" t="str">
        <f t="shared" si="13"/>
        <v/>
      </c>
      <c r="P71" s="40" t="str">
        <f t="shared" si="14"/>
        <v>Small cap stocks</v>
      </c>
    </row>
    <row r="72">
      <c r="A72" s="4" t="s">
        <v>64</v>
      </c>
      <c r="B72" s="34">
        <v>39945.4022299</v>
      </c>
      <c r="C72" s="35">
        <v>2662.0</v>
      </c>
      <c r="D72" s="35">
        <v>35.5</v>
      </c>
      <c r="E72" s="35">
        <v>3025.0</v>
      </c>
      <c r="F72" s="36">
        <v>0.12</v>
      </c>
      <c r="G72" s="35">
        <v>2043.85</v>
      </c>
      <c r="H72" s="36">
        <v>0.3024439171172053</v>
      </c>
      <c r="I72" s="35">
        <v>2677.05</v>
      </c>
      <c r="J72" s="36">
        <v>-0.005621859883080324</v>
      </c>
      <c r="K72" s="37" t="s">
        <v>282</v>
      </c>
      <c r="L72" s="37" t="s">
        <v>314</v>
      </c>
      <c r="M72" s="38" t="str">
        <f t="array" ref="M72">IF(F72&gt;30%,"YES","NO")</f>
        <v>NO</v>
      </c>
      <c r="N72" s="39" t="str">
        <f t="array" ref="N72">IF(H72&lt;30%,"YES","NO")</f>
        <v>NO</v>
      </c>
      <c r="O72" s="37" t="str">
        <f t="shared" si="13"/>
        <v>GOOD STOCK</v>
      </c>
      <c r="P72" s="40" t="str">
        <f t="shared" si="14"/>
        <v>Small cap stocks</v>
      </c>
    </row>
    <row r="73">
      <c r="A73" s="4" t="s">
        <v>214</v>
      </c>
      <c r="B73" s="41">
        <v>38859.14</v>
      </c>
      <c r="C73" s="43">
        <v>4338.0</v>
      </c>
      <c r="D73" s="43">
        <v>63.66</v>
      </c>
      <c r="E73" s="43">
        <v>4535.95</v>
      </c>
      <c r="F73" s="44">
        <v>0.043640251766443594</v>
      </c>
      <c r="G73" s="43">
        <v>2160.05</v>
      </c>
      <c r="H73" s="44">
        <v>1.0082868452119162</v>
      </c>
      <c r="I73" s="43">
        <v>4340.15</v>
      </c>
      <c r="J73" s="44">
        <v>-4.953745838276641E-4</v>
      </c>
      <c r="K73" s="45" t="s">
        <v>315</v>
      </c>
      <c r="L73" s="45" t="s">
        <v>316</v>
      </c>
      <c r="M73" s="38" t="str">
        <f t="array" ref="M73">IF(F73&gt;30%,"YES","NO")</f>
        <v>NO</v>
      </c>
      <c r="N73" s="39" t="str">
        <f t="array" ref="N73">IF(H73&lt;30%,"YES","NO")</f>
        <v>NO</v>
      </c>
      <c r="O73" s="45" t="str">
        <f t="shared" si="13"/>
        <v>GOOD STOCK</v>
      </c>
      <c r="P73" s="40" t="str">
        <f t="shared" si="14"/>
        <v>Small cap stocks</v>
      </c>
    </row>
    <row r="74">
      <c r="A74" s="4" t="s">
        <v>46</v>
      </c>
      <c r="B74" s="34">
        <v>38754.622389</v>
      </c>
      <c r="C74" s="35">
        <v>6223.0</v>
      </c>
      <c r="D74" s="35">
        <v>57.85</v>
      </c>
      <c r="E74" s="35">
        <v>10760.0</v>
      </c>
      <c r="F74" s="36">
        <v>0.4216542750929368</v>
      </c>
      <c r="G74" s="35">
        <v>5709.05</v>
      </c>
      <c r="H74" s="36">
        <v>0.09002373424650333</v>
      </c>
      <c r="I74" s="35">
        <v>6196.65</v>
      </c>
      <c r="J74" s="36">
        <v>0.004252297612419673</v>
      </c>
      <c r="K74" s="37" t="s">
        <v>317</v>
      </c>
      <c r="L74" s="37" t="s">
        <v>318</v>
      </c>
      <c r="M74" s="38" t="str">
        <f t="array" ref="M74">IF(F74&gt;30%,"YES","NO")</f>
        <v>YES</v>
      </c>
      <c r="N74" s="39" t="str">
        <f t="array" ref="N74">IF(H74&lt;30%,"YES","NO")</f>
        <v>YES</v>
      </c>
      <c r="O74" s="37" t="str">
        <f t="shared" si="13"/>
        <v/>
      </c>
      <c r="P74" s="40" t="str">
        <f t="shared" si="14"/>
        <v>Small cap stocks</v>
      </c>
    </row>
    <row r="75">
      <c r="A75" s="4" t="s">
        <v>52</v>
      </c>
      <c r="B75" s="41">
        <v>38348.8672779</v>
      </c>
      <c r="C75" s="43">
        <v>2035.55</v>
      </c>
      <c r="D75" s="43">
        <v>24.59</v>
      </c>
      <c r="E75" s="43">
        <v>3466.4</v>
      </c>
      <c r="F75" s="44">
        <v>0.41277694438033696</v>
      </c>
      <c r="G75" s="43">
        <v>1897.35</v>
      </c>
      <c r="H75" s="44">
        <v>0.07283843255066279</v>
      </c>
      <c r="I75" s="43">
        <v>2013.55</v>
      </c>
      <c r="J75" s="44">
        <v>0.010925976509150505</v>
      </c>
      <c r="K75" s="45" t="s">
        <v>233</v>
      </c>
      <c r="L75" s="45" t="s">
        <v>319</v>
      </c>
      <c r="M75" s="38" t="str">
        <f t="array" ref="M75">IF(F75&gt;30%,"YES","NO")</f>
        <v>YES</v>
      </c>
      <c r="N75" s="39" t="str">
        <f t="array" ref="N75">IF(H75&lt;30%,"YES","NO")</f>
        <v>YES</v>
      </c>
      <c r="O75" s="45" t="str">
        <f t="shared" si="13"/>
        <v/>
      </c>
      <c r="P75" s="40" t="str">
        <f t="shared" si="14"/>
        <v>Small cap stocks</v>
      </c>
    </row>
    <row r="76">
      <c r="A76" s="4" t="s">
        <v>49</v>
      </c>
      <c r="B76" s="34">
        <v>38329.8286</v>
      </c>
      <c r="C76" s="35">
        <v>237.75</v>
      </c>
      <c r="D76" s="35">
        <v>9.94</v>
      </c>
      <c r="E76" s="35">
        <v>349.55</v>
      </c>
      <c r="F76" s="36">
        <v>0.319839794020884</v>
      </c>
      <c r="G76" s="35">
        <v>209.55</v>
      </c>
      <c r="H76" s="36">
        <v>0.1345740873299928</v>
      </c>
      <c r="I76" s="35">
        <v>239.25</v>
      </c>
      <c r="J76" s="36">
        <v>-0.006269592476489028</v>
      </c>
      <c r="K76" s="37" t="s">
        <v>237</v>
      </c>
      <c r="L76" s="37" t="s">
        <v>320</v>
      </c>
      <c r="M76" s="38" t="str">
        <f t="array" ref="M76">IF(F76&gt;30%,"YES","NO")</f>
        <v>YES</v>
      </c>
      <c r="N76" s="39" t="str">
        <f t="array" ref="N76">IF(H76&lt;30%,"YES","NO")</f>
        <v>YES</v>
      </c>
      <c r="O76" s="37" t="str">
        <f t="shared" si="13"/>
        <v/>
      </c>
      <c r="P76" s="40" t="str">
        <f t="shared" si="14"/>
        <v>Small cap stocks</v>
      </c>
    </row>
    <row r="77">
      <c r="A77" s="4" t="s">
        <v>67</v>
      </c>
      <c r="B77" s="41">
        <v>38048.54</v>
      </c>
      <c r="C77" s="43">
        <v>89700.0</v>
      </c>
      <c r="D77" s="43">
        <v>66.97</v>
      </c>
      <c r="E77" s="43">
        <v>95954.35</v>
      </c>
      <c r="F77" s="44">
        <v>0.06518047383990414</v>
      </c>
      <c r="G77" s="43">
        <v>62944.5</v>
      </c>
      <c r="H77" s="44">
        <v>0.42506493815980745</v>
      </c>
      <c r="I77" s="43">
        <v>89498.35</v>
      </c>
      <c r="J77" s="44">
        <v>0.00225311416355714</v>
      </c>
      <c r="K77" s="45" t="s">
        <v>306</v>
      </c>
      <c r="L77" s="45" t="s">
        <v>321</v>
      </c>
      <c r="M77" s="38" t="str">
        <f t="array" ref="M77">IF(F77&gt;30%,"YES","NO")</f>
        <v>NO</v>
      </c>
      <c r="N77" s="39" t="str">
        <f t="array" ref="N77">IF(H77&lt;30%,"YES","NO")</f>
        <v>NO</v>
      </c>
      <c r="O77" s="45" t="str">
        <f t="shared" si="13"/>
        <v/>
      </c>
      <c r="P77" s="40" t="str">
        <f t="shared" si="14"/>
        <v>Small cap stocks</v>
      </c>
    </row>
    <row r="78">
      <c r="A78" s="4" t="s">
        <v>196</v>
      </c>
      <c r="B78" s="34">
        <v>36421.231513</v>
      </c>
      <c r="C78" s="35">
        <v>3446.95</v>
      </c>
      <c r="D78" s="35">
        <v>34.13</v>
      </c>
      <c r="E78" s="35">
        <v>5714.0</v>
      </c>
      <c r="F78" s="36">
        <v>0.396753587679384</v>
      </c>
      <c r="G78" s="35">
        <v>2923.35</v>
      </c>
      <c r="H78" s="36">
        <v>0.17910958318367623</v>
      </c>
      <c r="I78" s="35">
        <v>3640.5</v>
      </c>
      <c r="J78" s="36">
        <v>-0.05316577393215223</v>
      </c>
      <c r="K78" s="37" t="s">
        <v>298</v>
      </c>
      <c r="L78" s="37" t="s">
        <v>322</v>
      </c>
      <c r="M78" s="38" t="str">
        <f t="array" ref="M78">IF(F78&gt;30%,"YES","NO")</f>
        <v>YES</v>
      </c>
      <c r="N78" s="39" t="str">
        <f t="array" ref="N78">IF(H78&lt;30%,"YES","NO")</f>
        <v>YES</v>
      </c>
      <c r="O78" s="37" t="str">
        <f t="shared" si="13"/>
        <v/>
      </c>
      <c r="P78" s="40" t="str">
        <f t="shared" si="14"/>
        <v>Small cap stocks</v>
      </c>
    </row>
    <row r="79">
      <c r="A79" s="4" t="s">
        <v>66</v>
      </c>
      <c r="B79" s="41">
        <v>35109.687833</v>
      </c>
      <c r="C79" s="43">
        <v>39710.0</v>
      </c>
      <c r="D79" s="43">
        <v>91.84</v>
      </c>
      <c r="E79" s="43">
        <v>46397.7</v>
      </c>
      <c r="F79" s="44">
        <v>0.14413861031904593</v>
      </c>
      <c r="G79" s="43">
        <v>30185.35</v>
      </c>
      <c r="H79" s="44">
        <v>0.3155388292665151</v>
      </c>
      <c r="I79" s="43">
        <v>39677.1</v>
      </c>
      <c r="J79" s="44">
        <v>8.291936658677538E-4</v>
      </c>
      <c r="K79" s="45" t="s">
        <v>294</v>
      </c>
      <c r="L79" s="45" t="s">
        <v>323</v>
      </c>
      <c r="M79" s="38" t="str">
        <f t="array" ref="M79">IF(F79&gt;30%,"YES","NO")</f>
        <v>NO</v>
      </c>
      <c r="N79" s="39" t="str">
        <f t="array" ref="N79">IF(H79&lt;30%,"YES","NO")</f>
        <v>NO</v>
      </c>
      <c r="O79" s="45" t="str">
        <f t="shared" si="13"/>
        <v/>
      </c>
      <c r="P79" s="40" t="str">
        <f t="shared" si="14"/>
        <v>Small cap stocks</v>
      </c>
    </row>
    <row r="80">
      <c r="A80" s="4" t="s">
        <v>209</v>
      </c>
      <c r="B80" s="34">
        <v>32766.2786899</v>
      </c>
      <c r="C80" s="35">
        <v>498.25</v>
      </c>
      <c r="D80" s="35">
        <v>69.25</v>
      </c>
      <c r="E80" s="35">
        <v>806.4</v>
      </c>
      <c r="F80" s="36">
        <v>0.38213045634920634</v>
      </c>
      <c r="G80" s="35">
        <v>451.2</v>
      </c>
      <c r="H80" s="36">
        <v>0.10427748226950358</v>
      </c>
      <c r="I80" s="35">
        <v>488.55</v>
      </c>
      <c r="J80" s="36">
        <v>0.019854671988537485</v>
      </c>
      <c r="K80" s="37" t="s">
        <v>280</v>
      </c>
      <c r="L80" s="37" t="s">
        <v>324</v>
      </c>
      <c r="M80" s="38" t="str">
        <f t="array" ref="M80">IF(F80&gt;30%,"YES","NO")</f>
        <v>YES</v>
      </c>
      <c r="N80" s="39" t="str">
        <f t="array" ref="N80">IF(H80&lt;30%,"YES","NO")</f>
        <v>YES</v>
      </c>
      <c r="O80" s="37" t="str">
        <f t="shared" si="13"/>
        <v/>
      </c>
      <c r="P80" s="40" t="str">
        <f t="shared" si="14"/>
        <v>Small cap stocks</v>
      </c>
    </row>
    <row r="81">
      <c r="A81" s="4" t="s">
        <v>82</v>
      </c>
      <c r="B81" s="41">
        <v>31477.05</v>
      </c>
      <c r="C81" s="43">
        <v>1136.0</v>
      </c>
      <c r="D81" s="43">
        <v>54.9</v>
      </c>
      <c r="E81" s="43">
        <v>1193.85</v>
      </c>
      <c r="F81" s="44">
        <v>0.04845667378648902</v>
      </c>
      <c r="G81" s="43">
        <v>771.0</v>
      </c>
      <c r="H81" s="44">
        <v>0.47341115434500647</v>
      </c>
      <c r="I81" s="43">
        <v>1127.95</v>
      </c>
      <c r="J81" s="44">
        <v>0.007136841172037727</v>
      </c>
      <c r="K81" s="45" t="s">
        <v>325</v>
      </c>
      <c r="L81" s="45" t="s">
        <v>326</v>
      </c>
      <c r="M81" s="38" t="str">
        <f t="array" ref="M81">IF(F81&gt;30%,"YES","NO")</f>
        <v>NO</v>
      </c>
      <c r="N81" s="39" t="str">
        <f t="array" ref="N81">IF(H81&lt;30%,"YES","NO")</f>
        <v>NO</v>
      </c>
      <c r="O81" s="45" t="str">
        <f t="shared" si="13"/>
        <v>GOOD STOCK</v>
      </c>
      <c r="P81" s="40" t="str">
        <f t="shared" si="14"/>
        <v>Small cap stocks</v>
      </c>
    </row>
    <row r="82">
      <c r="A82" s="4" t="s">
        <v>84</v>
      </c>
      <c r="B82" s="34">
        <v>31369.92</v>
      </c>
      <c r="C82" s="35">
        <v>2461.0</v>
      </c>
      <c r="D82" s="35">
        <v>36.12</v>
      </c>
      <c r="E82" s="35">
        <v>2607.65</v>
      </c>
      <c r="F82" s="36">
        <v>0.05623837554886587</v>
      </c>
      <c r="G82" s="35">
        <v>1666.25</v>
      </c>
      <c r="H82" s="36">
        <v>0.47696924231057763</v>
      </c>
      <c r="I82" s="35">
        <v>2452.7</v>
      </c>
      <c r="J82" s="36">
        <v>0.003384025767521581</v>
      </c>
      <c r="K82" s="37" t="s">
        <v>327</v>
      </c>
      <c r="L82" s="37" t="s">
        <v>328</v>
      </c>
      <c r="M82" s="38" t="str">
        <f t="array" ref="M82">IF(F82&gt;30%,"YES","NO")</f>
        <v>NO</v>
      </c>
      <c r="N82" s="39" t="str">
        <f t="array" ref="N82">IF(H82&lt;30%,"YES","NO")</f>
        <v>NO</v>
      </c>
      <c r="O82" s="37" t="str">
        <f t="shared" si="13"/>
        <v>GOOD STOCK</v>
      </c>
      <c r="P82" s="40" t="str">
        <f t="shared" si="14"/>
        <v>Small cap stocks</v>
      </c>
    </row>
    <row r="83" hidden="1">
      <c r="A83" s="4" t="s">
        <v>91</v>
      </c>
      <c r="B83" s="41">
        <v>37544.8863158</v>
      </c>
      <c r="C83" s="43">
        <v>60.2</v>
      </c>
      <c r="D83" s="43"/>
      <c r="E83" s="43">
        <v>64.3</v>
      </c>
      <c r="F83" s="44">
        <v>0.06376360808709167</v>
      </c>
      <c r="G83" s="43" t="s">
        <v>92</v>
      </c>
      <c r="H83" s="44" t="e">
        <v>#VALUE!</v>
      </c>
      <c r="I83" s="43">
        <v>59.6</v>
      </c>
      <c r="J83" s="44">
        <v>0.010067114093959755</v>
      </c>
      <c r="K83" s="45" t="s">
        <v>237</v>
      </c>
      <c r="L83" s="45" t="s">
        <v>478</v>
      </c>
      <c r="M83" s="45"/>
      <c r="N83" s="45"/>
      <c r="O83" s="45"/>
      <c r="P83" s="45"/>
    </row>
    <row r="84">
      <c r="A84" s="4" t="s">
        <v>69</v>
      </c>
      <c r="B84" s="34">
        <v>31008.5328948</v>
      </c>
      <c r="C84" s="35">
        <v>450.2</v>
      </c>
      <c r="D84" s="35">
        <v>22.9</v>
      </c>
      <c r="E84" s="35">
        <v>721.8</v>
      </c>
      <c r="F84" s="36">
        <v>0.3762815184261568</v>
      </c>
      <c r="G84" s="35">
        <v>403.55</v>
      </c>
      <c r="H84" s="36">
        <v>0.11559905835708084</v>
      </c>
      <c r="I84" s="35">
        <v>466.8</v>
      </c>
      <c r="J84" s="36">
        <v>-0.03556126820908317</v>
      </c>
      <c r="K84" s="37" t="s">
        <v>329</v>
      </c>
      <c r="L84" s="37" t="s">
        <v>330</v>
      </c>
      <c r="M84" s="38" t="str">
        <f t="array" ref="M84">IF(F84&gt;30%,"YES","NO")</f>
        <v>YES</v>
      </c>
      <c r="N84" s="39" t="str">
        <f t="array" ref="N84">IF(H84&lt;30%,"YES","NO")</f>
        <v>YES</v>
      </c>
      <c r="O84" s="37" t="str">
        <f t="shared" ref="O84:O104" si="15">if(AND(D84&lt;65,M84="NO",N84="NO"),"GOOD STOCK","")</f>
        <v/>
      </c>
      <c r="P84" s="40" t="str">
        <f t="shared" ref="P84:P104" si="16">ifs((B84/B$2)*100&gt;=60,"Large cap stocks",and((B84/B$2)*100&lt;60,(B84/B$2)*100&gt;40),"Medium cap stocks",(B84/B$2)*100&lt;40,"Small cap stocks")</f>
        <v>Small cap stocks</v>
      </c>
    </row>
    <row r="85">
      <c r="A85" s="4" t="s">
        <v>68</v>
      </c>
      <c r="B85" s="41">
        <v>30664.6275</v>
      </c>
      <c r="C85" s="43">
        <v>2793.5</v>
      </c>
      <c r="D85" s="43">
        <v>28.23</v>
      </c>
      <c r="E85" s="43">
        <v>4172.95</v>
      </c>
      <c r="F85" s="44">
        <v>0.33056950119220213</v>
      </c>
      <c r="G85" s="43">
        <v>2105.15</v>
      </c>
      <c r="H85" s="44">
        <v>0.32698382538061416</v>
      </c>
      <c r="I85" s="43">
        <v>2841.6</v>
      </c>
      <c r="J85" s="44">
        <v>-0.0169270833333333</v>
      </c>
      <c r="K85" s="45" t="s">
        <v>331</v>
      </c>
      <c r="L85" s="45" t="s">
        <v>332</v>
      </c>
      <c r="M85" s="38" t="str">
        <f t="array" ref="M85">IF(F85&gt;30%,"YES","NO")</f>
        <v>YES</v>
      </c>
      <c r="N85" s="39" t="str">
        <f t="array" ref="N85">IF(H85&lt;30%,"YES","NO")</f>
        <v>NO</v>
      </c>
      <c r="O85" s="45" t="str">
        <f t="shared" si="15"/>
        <v/>
      </c>
      <c r="P85" s="40" t="str">
        <f t="shared" si="16"/>
        <v>Small cap stocks</v>
      </c>
    </row>
    <row r="86">
      <c r="A86" s="4" t="s">
        <v>77</v>
      </c>
      <c r="B86" s="34">
        <v>30617.09</v>
      </c>
      <c r="C86" s="35">
        <v>4009.0</v>
      </c>
      <c r="D86" s="35">
        <v>37.59</v>
      </c>
      <c r="E86" s="35">
        <v>4954.0</v>
      </c>
      <c r="F86" s="36">
        <v>0.19075494549858701</v>
      </c>
      <c r="G86" s="35">
        <v>3092.05</v>
      </c>
      <c r="H86" s="36">
        <v>0.296550831972316</v>
      </c>
      <c r="I86" s="35">
        <v>3978.2</v>
      </c>
      <c r="J86" s="36">
        <v>0.007742194962545921</v>
      </c>
      <c r="K86" s="37" t="s">
        <v>233</v>
      </c>
      <c r="L86" s="37" t="s">
        <v>333</v>
      </c>
      <c r="M86" s="38" t="str">
        <f t="array" ref="M86">IF(F86&gt;30%,"YES","NO")</f>
        <v>NO</v>
      </c>
      <c r="N86" s="39" t="str">
        <f t="array" ref="N86">IF(H86&lt;30%,"YES","NO")</f>
        <v>YES</v>
      </c>
      <c r="O86" s="37" t="str">
        <f t="shared" si="15"/>
        <v/>
      </c>
      <c r="P86" s="40" t="str">
        <f t="shared" si="16"/>
        <v>Small cap stocks</v>
      </c>
    </row>
    <row r="87">
      <c r="A87" s="4" t="s">
        <v>180</v>
      </c>
      <c r="B87" s="41">
        <v>29278.4915846</v>
      </c>
      <c r="C87" s="43">
        <v>138.45</v>
      </c>
      <c r="D87" s="43">
        <v>11.78</v>
      </c>
      <c r="E87" s="43">
        <v>142.25</v>
      </c>
      <c r="F87" s="44">
        <v>0.0267135325131811</v>
      </c>
      <c r="G87" s="43">
        <v>82.5</v>
      </c>
      <c r="H87" s="44">
        <v>0.678181818181818</v>
      </c>
      <c r="I87" s="43">
        <v>135.05</v>
      </c>
      <c r="J87" s="44">
        <v>0.025175860792298978</v>
      </c>
      <c r="K87" s="45" t="s">
        <v>237</v>
      </c>
      <c r="L87" s="45" t="s">
        <v>334</v>
      </c>
      <c r="M87" s="38" t="str">
        <f t="array" ref="M87">IF(F87&gt;30%,"YES","NO")</f>
        <v>NO</v>
      </c>
      <c r="N87" s="39" t="str">
        <f t="array" ref="N87">IF(H87&lt;30%,"YES","NO")</f>
        <v>NO</v>
      </c>
      <c r="O87" s="45" t="str">
        <f t="shared" si="15"/>
        <v>GOOD STOCK</v>
      </c>
      <c r="P87" s="40" t="str">
        <f t="shared" si="16"/>
        <v>Small cap stocks</v>
      </c>
    </row>
    <row r="88">
      <c r="A88" s="4" t="s">
        <v>73</v>
      </c>
      <c r="B88" s="34">
        <v>29162.03</v>
      </c>
      <c r="C88" s="35">
        <v>416.85</v>
      </c>
      <c r="D88" s="35">
        <v>17.03</v>
      </c>
      <c r="E88" s="35">
        <v>466.65</v>
      </c>
      <c r="F88" s="36">
        <v>0.10671809707489543</v>
      </c>
      <c r="G88" s="35">
        <v>322.1</v>
      </c>
      <c r="H88" s="36">
        <v>0.2941633033219497</v>
      </c>
      <c r="I88" s="35">
        <v>418.6</v>
      </c>
      <c r="J88" s="36">
        <v>-0.004180602006688963</v>
      </c>
      <c r="K88" s="37" t="s">
        <v>329</v>
      </c>
      <c r="L88" s="37" t="s">
        <v>335</v>
      </c>
      <c r="M88" s="38" t="str">
        <f t="array" ref="M88">IF(F88&gt;30%,"YES","NO")</f>
        <v>NO</v>
      </c>
      <c r="N88" s="39" t="str">
        <f t="array" ref="N88">IF(H88&lt;30%,"YES","NO")</f>
        <v>YES</v>
      </c>
      <c r="O88" s="37" t="str">
        <f t="shared" si="15"/>
        <v/>
      </c>
      <c r="P88" s="40" t="str">
        <f t="shared" si="16"/>
        <v>Small cap stocks</v>
      </c>
    </row>
    <row r="89">
      <c r="A89" s="4" t="s">
        <v>70</v>
      </c>
      <c r="B89" s="41">
        <v>27569.4122639</v>
      </c>
      <c r="C89" s="43">
        <v>799.4</v>
      </c>
      <c r="D89" s="43">
        <v>88.04</v>
      </c>
      <c r="E89" s="43">
        <v>1065.0</v>
      </c>
      <c r="F89" s="44">
        <v>0.24938967136150236</v>
      </c>
      <c r="G89" s="43">
        <v>627.8</v>
      </c>
      <c r="H89" s="44">
        <v>0.2733354571519593</v>
      </c>
      <c r="I89" s="43">
        <v>796.25</v>
      </c>
      <c r="J89" s="44">
        <v>0.003956043956043927</v>
      </c>
      <c r="K89" s="45" t="s">
        <v>239</v>
      </c>
      <c r="L89" s="45" t="s">
        <v>336</v>
      </c>
      <c r="M89" s="38" t="str">
        <f t="array" ref="M89">IF(F89&gt;30%,"YES","NO")</f>
        <v>NO</v>
      </c>
      <c r="N89" s="39" t="str">
        <f t="array" ref="N89">IF(H89&lt;30%,"YES","NO")</f>
        <v>YES</v>
      </c>
      <c r="O89" s="45" t="str">
        <f t="shared" si="15"/>
        <v/>
      </c>
      <c r="P89" s="40" t="str">
        <f t="shared" si="16"/>
        <v>Small cap stocks</v>
      </c>
    </row>
    <row r="90">
      <c r="A90" s="4" t="s">
        <v>194</v>
      </c>
      <c r="B90" s="34">
        <v>26702.2965179</v>
      </c>
      <c r="C90" s="35">
        <v>805.9</v>
      </c>
      <c r="D90" s="35">
        <v>70.1</v>
      </c>
      <c r="E90" s="35">
        <v>1347.75</v>
      </c>
      <c r="F90" s="36">
        <v>0.4020404377666481</v>
      </c>
      <c r="G90" s="35">
        <v>770.55</v>
      </c>
      <c r="H90" s="36">
        <v>0.04587632210758552</v>
      </c>
      <c r="I90" s="35">
        <v>808.15</v>
      </c>
      <c r="J90" s="36">
        <v>-0.002784136608302914</v>
      </c>
      <c r="K90" s="37" t="s">
        <v>282</v>
      </c>
      <c r="L90" s="37" t="s">
        <v>337</v>
      </c>
      <c r="M90" s="38" t="str">
        <f t="array" ref="M90">IF(F90&gt;30%,"YES","NO")</f>
        <v>YES</v>
      </c>
      <c r="N90" s="39" t="str">
        <f t="array" ref="N90">IF(H90&lt;30%,"YES","NO")</f>
        <v>YES</v>
      </c>
      <c r="O90" s="37" t="str">
        <f t="shared" si="15"/>
        <v/>
      </c>
      <c r="P90" s="40" t="str">
        <f t="shared" si="16"/>
        <v>Small cap stocks</v>
      </c>
    </row>
    <row r="91">
      <c r="A91" s="4" t="s">
        <v>75</v>
      </c>
      <c r="B91" s="41">
        <v>26525.721745</v>
      </c>
      <c r="C91" s="43">
        <v>1944.05</v>
      </c>
      <c r="D91" s="43">
        <v>28.86</v>
      </c>
      <c r="E91" s="43">
        <v>2690.05</v>
      </c>
      <c r="F91" s="44">
        <v>0.27731826545974986</v>
      </c>
      <c r="G91" s="43">
        <v>1681.15</v>
      </c>
      <c r="H91" s="44">
        <v>0.15638104868691066</v>
      </c>
      <c r="I91" s="43">
        <v>1941.8</v>
      </c>
      <c r="J91" s="44">
        <v>0.0011587187145947059</v>
      </c>
      <c r="K91" s="45" t="s">
        <v>265</v>
      </c>
      <c r="L91" s="45" t="s">
        <v>338</v>
      </c>
      <c r="M91" s="38" t="str">
        <f t="array" ref="M91">IF(F91&gt;30%,"YES","NO")</f>
        <v>NO</v>
      </c>
      <c r="N91" s="39" t="str">
        <f t="array" ref="N91">IF(H91&lt;30%,"YES","NO")</f>
        <v>YES</v>
      </c>
      <c r="O91" s="45" t="str">
        <f t="shared" si="15"/>
        <v/>
      </c>
      <c r="P91" s="40" t="str">
        <f t="shared" si="16"/>
        <v>Small cap stocks</v>
      </c>
    </row>
    <row r="92">
      <c r="A92" s="4" t="s">
        <v>71</v>
      </c>
      <c r="B92" s="34">
        <v>25664.11</v>
      </c>
      <c r="C92" s="35">
        <v>872.0</v>
      </c>
      <c r="D92" s="35">
        <v>13.43</v>
      </c>
      <c r="E92" s="35">
        <v>1094.0</v>
      </c>
      <c r="F92" s="36">
        <v>0.20292504570383912</v>
      </c>
      <c r="G92" s="35">
        <v>729.55</v>
      </c>
      <c r="H92" s="36">
        <v>0.19525735042149278</v>
      </c>
      <c r="I92" s="35">
        <v>881.85</v>
      </c>
      <c r="J92" s="36">
        <v>-0.01116970006236891</v>
      </c>
      <c r="K92" s="37" t="s">
        <v>292</v>
      </c>
      <c r="L92" s="37" t="s">
        <v>339</v>
      </c>
      <c r="M92" s="38" t="str">
        <f t="array" ref="M92">IF(F92&gt;30%,"YES","NO")</f>
        <v>NO</v>
      </c>
      <c r="N92" s="39" t="str">
        <f t="array" ref="N92">IF(H92&lt;30%,"YES","NO")</f>
        <v>YES</v>
      </c>
      <c r="O92" s="37" t="str">
        <f t="shared" si="15"/>
        <v/>
      </c>
      <c r="P92" s="40" t="str">
        <f t="shared" si="16"/>
        <v>Small cap stocks</v>
      </c>
    </row>
    <row r="93">
      <c r="A93" s="4" t="s">
        <v>65</v>
      </c>
      <c r="B93" s="41">
        <v>25505.6859247</v>
      </c>
      <c r="C93" s="43">
        <v>435.3</v>
      </c>
      <c r="D93" s="43">
        <v>12.08</v>
      </c>
      <c r="E93" s="43">
        <v>727.95</v>
      </c>
      <c r="F93" s="44">
        <v>0.40201936946218836</v>
      </c>
      <c r="G93" s="43">
        <v>429.2</v>
      </c>
      <c r="H93" s="44">
        <v>0.014212488350419439</v>
      </c>
      <c r="I93" s="43">
        <v>446.35</v>
      </c>
      <c r="J93" s="44">
        <v>-0.02475635711885294</v>
      </c>
      <c r="K93" s="45" t="s">
        <v>254</v>
      </c>
      <c r="L93" s="45" t="s">
        <v>340</v>
      </c>
      <c r="M93" s="38" t="str">
        <f t="array" ref="M93">IF(F93&gt;30%,"YES","NO")</f>
        <v>YES</v>
      </c>
      <c r="N93" s="39" t="str">
        <f t="array" ref="N93">IF(H93&lt;30%,"YES","NO")</f>
        <v>YES</v>
      </c>
      <c r="O93" s="45" t="str">
        <f t="shared" si="15"/>
        <v/>
      </c>
      <c r="P93" s="40" t="str">
        <f t="shared" si="16"/>
        <v>Small cap stocks</v>
      </c>
    </row>
    <row r="94">
      <c r="A94" s="4" t="s">
        <v>78</v>
      </c>
      <c r="B94" s="34">
        <v>25229.93</v>
      </c>
      <c r="C94" s="35">
        <v>22300.0</v>
      </c>
      <c r="D94" s="35">
        <v>68.24</v>
      </c>
      <c r="E94" s="35">
        <v>26943.0</v>
      </c>
      <c r="F94" s="36">
        <v>0.17232676390899307</v>
      </c>
      <c r="G94" s="35">
        <v>17273.0</v>
      </c>
      <c r="H94" s="36">
        <v>0.2910322468592601</v>
      </c>
      <c r="I94" s="35">
        <v>22335.4</v>
      </c>
      <c r="J94" s="36">
        <v>-0.0015849279618901588</v>
      </c>
      <c r="K94" s="37" t="s">
        <v>298</v>
      </c>
      <c r="L94" s="37" t="s">
        <v>341</v>
      </c>
      <c r="M94" s="38" t="str">
        <f t="array" ref="M94">IF(F94&gt;30%,"YES","NO")</f>
        <v>NO</v>
      </c>
      <c r="N94" s="39" t="str">
        <f t="array" ref="N94">IF(H94&lt;30%,"YES","NO")</f>
        <v>YES</v>
      </c>
      <c r="O94" s="37" t="str">
        <f t="shared" si="15"/>
        <v/>
      </c>
      <c r="P94" s="40" t="str">
        <f t="shared" si="16"/>
        <v>Small cap stocks</v>
      </c>
    </row>
    <row r="95">
      <c r="A95" s="4" t="s">
        <v>62</v>
      </c>
      <c r="B95" s="41">
        <v>24962.9162175</v>
      </c>
      <c r="C95" s="43">
        <v>426.0</v>
      </c>
      <c r="D95" s="43">
        <v>69.24</v>
      </c>
      <c r="E95" s="43">
        <v>795.0</v>
      </c>
      <c r="F95" s="44">
        <v>0.4641509433962264</v>
      </c>
      <c r="G95" s="43">
        <v>397.35</v>
      </c>
      <c r="H95" s="44">
        <v>0.07210268025670058</v>
      </c>
      <c r="I95" s="43">
        <v>428.65</v>
      </c>
      <c r="J95" s="44">
        <v>-0.006182199930012778</v>
      </c>
      <c r="K95" s="45" t="s">
        <v>342</v>
      </c>
      <c r="L95" s="45" t="s">
        <v>343</v>
      </c>
      <c r="M95" s="38" t="str">
        <f t="array" ref="M95">IF(F95&gt;30%,"YES","NO")</f>
        <v>YES</v>
      </c>
      <c r="N95" s="39" t="str">
        <f t="array" ref="N95">IF(H95&lt;30%,"YES","NO")</f>
        <v>YES</v>
      </c>
      <c r="O95" s="45" t="str">
        <f t="shared" si="15"/>
        <v/>
      </c>
      <c r="P95" s="40" t="str">
        <f t="shared" si="16"/>
        <v>Small cap stocks</v>
      </c>
    </row>
    <row r="96">
      <c r="A96" s="4" t="s">
        <v>88</v>
      </c>
      <c r="B96" s="34">
        <v>24851.46731</v>
      </c>
      <c r="C96" s="35">
        <v>975.8</v>
      </c>
      <c r="D96" s="35">
        <v>12.65</v>
      </c>
      <c r="E96" s="35">
        <v>1214.65</v>
      </c>
      <c r="F96" s="36">
        <v>0.1966410076976908</v>
      </c>
      <c r="G96" s="35">
        <v>773.9</v>
      </c>
      <c r="H96" s="36">
        <v>0.2608864194340354</v>
      </c>
      <c r="I96" s="35">
        <v>972.55</v>
      </c>
      <c r="J96" s="36">
        <v>0.0033417305022878</v>
      </c>
      <c r="K96" s="37" t="s">
        <v>265</v>
      </c>
      <c r="L96" s="37" t="s">
        <v>344</v>
      </c>
      <c r="M96" s="38" t="str">
        <f t="array" ref="M96">IF(F96&gt;30%,"YES","NO")</f>
        <v>NO</v>
      </c>
      <c r="N96" s="39" t="str">
        <f t="array" ref="N96">IF(H96&lt;30%,"YES","NO")</f>
        <v>YES</v>
      </c>
      <c r="O96" s="37" t="str">
        <f t="shared" si="15"/>
        <v/>
      </c>
      <c r="P96" s="40" t="str">
        <f t="shared" si="16"/>
        <v>Small cap stocks</v>
      </c>
    </row>
    <row r="97">
      <c r="A97" s="4" t="s">
        <v>86</v>
      </c>
      <c r="B97" s="41">
        <v>24637.83</v>
      </c>
      <c r="C97" s="43">
        <v>493.2</v>
      </c>
      <c r="D97" s="43">
        <v>48.9</v>
      </c>
      <c r="E97" s="43">
        <v>540.8</v>
      </c>
      <c r="F97" s="44">
        <v>0.08801775147928989</v>
      </c>
      <c r="G97" s="43">
        <v>351.5</v>
      </c>
      <c r="H97" s="44">
        <v>0.40312944523470834</v>
      </c>
      <c r="I97" s="43">
        <v>487.95</v>
      </c>
      <c r="J97" s="44">
        <v>0.010759299108515218</v>
      </c>
      <c r="K97" s="45" t="s">
        <v>292</v>
      </c>
      <c r="L97" s="45" t="s">
        <v>345</v>
      </c>
      <c r="M97" s="38" t="str">
        <f t="array" ref="M97">IF(F97&gt;30%,"YES","NO")</f>
        <v>NO</v>
      </c>
      <c r="N97" s="39" t="str">
        <f t="array" ref="N97">IF(H97&lt;30%,"YES","NO")</f>
        <v>NO</v>
      </c>
      <c r="O97" s="45" t="str">
        <f t="shared" si="15"/>
        <v>GOOD STOCK</v>
      </c>
      <c r="P97" s="40" t="str">
        <f t="shared" si="16"/>
        <v>Small cap stocks</v>
      </c>
    </row>
    <row r="98">
      <c r="A98" s="4" t="s">
        <v>198</v>
      </c>
      <c r="B98" s="34">
        <v>23948.9713712</v>
      </c>
      <c r="C98" s="35">
        <v>1453.65</v>
      </c>
      <c r="D98" s="35">
        <v>23.28</v>
      </c>
      <c r="E98" s="35">
        <v>3773.95</v>
      </c>
      <c r="F98" s="36">
        <v>0.6148200161634362</v>
      </c>
      <c r="G98" s="35">
        <v>1450.0</v>
      </c>
      <c r="H98" s="36">
        <v>0.0025172413793104077</v>
      </c>
      <c r="I98" s="35">
        <v>1497.85</v>
      </c>
      <c r="J98" s="36">
        <v>-0.029508962846746884</v>
      </c>
      <c r="K98" s="37" t="s">
        <v>254</v>
      </c>
      <c r="L98" s="37" t="s">
        <v>346</v>
      </c>
      <c r="M98" s="38" t="str">
        <f t="array" ref="M98">IF(F98&gt;30%,"YES","NO")</f>
        <v>YES</v>
      </c>
      <c r="N98" s="39" t="str">
        <f t="array" ref="N98">IF(H98&lt;30%,"YES","NO")</f>
        <v>YES</v>
      </c>
      <c r="O98" s="37" t="str">
        <f t="shared" si="15"/>
        <v/>
      </c>
      <c r="P98" s="40" t="str">
        <f t="shared" si="16"/>
        <v>Small cap stocks</v>
      </c>
    </row>
    <row r="99">
      <c r="A99" s="4" t="s">
        <v>81</v>
      </c>
      <c r="B99" s="41">
        <v>23631.8479052</v>
      </c>
      <c r="C99" s="43">
        <v>3868.05</v>
      </c>
      <c r="D99" s="43">
        <v>32.39</v>
      </c>
      <c r="E99" s="43">
        <v>5862.1</v>
      </c>
      <c r="F99" s="44">
        <v>0.3401596697429249</v>
      </c>
      <c r="G99" s="43">
        <v>3210.0</v>
      </c>
      <c r="H99" s="44">
        <v>0.20500000000000004</v>
      </c>
      <c r="I99" s="43">
        <v>3902.65</v>
      </c>
      <c r="J99" s="44">
        <v>-0.008865770694271817</v>
      </c>
      <c r="K99" s="45" t="s">
        <v>298</v>
      </c>
      <c r="L99" s="45" t="s">
        <v>347</v>
      </c>
      <c r="M99" s="38" t="str">
        <f t="array" ref="M99">IF(F99&gt;30%,"YES","NO")</f>
        <v>YES</v>
      </c>
      <c r="N99" s="39" t="str">
        <f t="array" ref="N99">IF(H99&lt;30%,"YES","NO")</f>
        <v>YES</v>
      </c>
      <c r="O99" s="45" t="str">
        <f t="shared" si="15"/>
        <v/>
      </c>
      <c r="P99" s="40" t="str">
        <f t="shared" si="16"/>
        <v>Small cap stocks</v>
      </c>
    </row>
    <row r="100">
      <c r="A100" s="4" t="s">
        <v>202</v>
      </c>
      <c r="B100" s="34">
        <v>22715.5217056</v>
      </c>
      <c r="C100" s="35">
        <v>7701.2</v>
      </c>
      <c r="D100" s="35">
        <v>37.5</v>
      </c>
      <c r="E100" s="35">
        <v>10859.0</v>
      </c>
      <c r="F100" s="36">
        <v>0.29080025785063085</v>
      </c>
      <c r="G100" s="35">
        <v>7602.15</v>
      </c>
      <c r="H100" s="36">
        <v>0.013029208842235445</v>
      </c>
      <c r="I100" s="35">
        <v>7679.85</v>
      </c>
      <c r="J100" s="36">
        <v>0.0027800022135848297</v>
      </c>
      <c r="K100" s="37" t="s">
        <v>265</v>
      </c>
      <c r="L100" s="37" t="s">
        <v>348</v>
      </c>
      <c r="M100" s="38" t="str">
        <f t="array" ref="M100">IF(F100&gt;30%,"YES","NO")</f>
        <v>NO</v>
      </c>
      <c r="N100" s="39" t="str">
        <f t="array" ref="N100">IF(H100&lt;30%,"YES","NO")</f>
        <v>YES</v>
      </c>
      <c r="O100" s="37" t="str">
        <f t="shared" si="15"/>
        <v/>
      </c>
      <c r="P100" s="40" t="str">
        <f t="shared" si="16"/>
        <v>Small cap stocks</v>
      </c>
    </row>
    <row r="101">
      <c r="A101" s="4" t="s">
        <v>187</v>
      </c>
      <c r="B101" s="41">
        <v>22430.59</v>
      </c>
      <c r="C101" s="43">
        <v>2900.45</v>
      </c>
      <c r="D101" s="43">
        <v>36.07</v>
      </c>
      <c r="E101" s="43">
        <v>3646.25</v>
      </c>
      <c r="F101" s="44">
        <v>0.2045389098388756</v>
      </c>
      <c r="G101" s="43">
        <v>2005.0</v>
      </c>
      <c r="H101" s="44">
        <v>0.4466084788029924</v>
      </c>
      <c r="I101" s="43">
        <v>2905.9</v>
      </c>
      <c r="J101" s="44">
        <v>-0.0018754946832307625</v>
      </c>
      <c r="K101" s="45" t="s">
        <v>259</v>
      </c>
      <c r="L101" s="45" t="s">
        <v>349</v>
      </c>
      <c r="M101" s="38" t="str">
        <f t="array" ref="M101">IF(F101&gt;30%,"YES","NO")</f>
        <v>NO</v>
      </c>
      <c r="N101" s="39" t="str">
        <f t="array" ref="N101">IF(H101&lt;30%,"YES","NO")</f>
        <v>NO</v>
      </c>
      <c r="O101" s="45" t="str">
        <f t="shared" si="15"/>
        <v>GOOD STOCK</v>
      </c>
      <c r="P101" s="40" t="str">
        <f t="shared" si="16"/>
        <v>Small cap stocks</v>
      </c>
    </row>
    <row r="102">
      <c r="A102" s="4" t="s">
        <v>193</v>
      </c>
      <c r="B102" s="34">
        <v>22276.241535</v>
      </c>
      <c r="C102" s="35">
        <v>415.0</v>
      </c>
      <c r="D102" s="35">
        <v>52.87</v>
      </c>
      <c r="E102" s="35">
        <v>624.0</v>
      </c>
      <c r="F102" s="36">
        <v>0.3349358974358974</v>
      </c>
      <c r="G102" s="35">
        <v>358.15</v>
      </c>
      <c r="H102" s="36">
        <v>0.15873237470333668</v>
      </c>
      <c r="I102" s="35">
        <v>413.05</v>
      </c>
      <c r="J102" s="36">
        <v>0.004720978089819606</v>
      </c>
      <c r="K102" s="37" t="s">
        <v>250</v>
      </c>
      <c r="L102" s="37" t="s">
        <v>350</v>
      </c>
      <c r="M102" s="38" t="str">
        <f t="array" ref="M102">IF(F102&gt;30%,"YES","NO")</f>
        <v>YES</v>
      </c>
      <c r="N102" s="39" t="str">
        <f t="array" ref="N102">IF(H102&lt;30%,"YES","NO")</f>
        <v>YES</v>
      </c>
      <c r="O102" s="37" t="str">
        <f t="shared" si="15"/>
        <v/>
      </c>
      <c r="P102" s="40" t="str">
        <f t="shared" si="16"/>
        <v>Small cap stocks</v>
      </c>
    </row>
    <row r="103">
      <c r="A103" s="4" t="s">
        <v>224</v>
      </c>
      <c r="B103" s="41">
        <v>22166.9</v>
      </c>
      <c r="C103" s="43">
        <v>3020.0</v>
      </c>
      <c r="D103" s="43">
        <v>38.36</v>
      </c>
      <c r="E103" s="43">
        <v>3863.55</v>
      </c>
      <c r="F103" s="44">
        <v>0.2183354686751822</v>
      </c>
      <c r="G103" s="43">
        <v>2540.0</v>
      </c>
      <c r="H103" s="44">
        <v>0.1889763779527559</v>
      </c>
      <c r="I103" s="43">
        <v>3044.5</v>
      </c>
      <c r="J103" s="44">
        <v>-0.008047298406963376</v>
      </c>
      <c r="K103" s="45" t="s">
        <v>351</v>
      </c>
      <c r="L103" s="45" t="s">
        <v>352</v>
      </c>
      <c r="M103" s="38" t="str">
        <f t="array" ref="M103">IF(F103&gt;30%,"YES","NO")</f>
        <v>NO</v>
      </c>
      <c r="N103" s="39" t="str">
        <f t="array" ref="N103">IF(H103&lt;30%,"YES","NO")</f>
        <v>YES</v>
      </c>
      <c r="O103" s="45" t="str">
        <f t="shared" si="15"/>
        <v/>
      </c>
      <c r="P103" s="40" t="str">
        <f t="shared" si="16"/>
        <v>Small cap stocks</v>
      </c>
    </row>
    <row r="104">
      <c r="A104" s="4" t="s">
        <v>97</v>
      </c>
      <c r="B104" s="34">
        <v>22159.2659823</v>
      </c>
      <c r="C104" s="35">
        <v>402.9</v>
      </c>
      <c r="D104" s="35">
        <v>6.85</v>
      </c>
      <c r="E104" s="35">
        <v>443.5</v>
      </c>
      <c r="F104" s="36">
        <v>0.09154453213077796</v>
      </c>
      <c r="G104" s="35">
        <v>291.75</v>
      </c>
      <c r="H104" s="36">
        <v>0.38097686375321327</v>
      </c>
      <c r="I104" s="35">
        <v>400.2</v>
      </c>
      <c r="J104" s="36">
        <v>0.006746626686656643</v>
      </c>
      <c r="K104" s="37" t="s">
        <v>244</v>
      </c>
      <c r="L104" s="37" t="s">
        <v>353</v>
      </c>
      <c r="M104" s="38" t="str">
        <f t="array" ref="M104">IF(F104&gt;30%,"YES","NO")</f>
        <v>NO</v>
      </c>
      <c r="N104" s="39" t="str">
        <f t="array" ref="N104">IF(H104&lt;30%,"YES","NO")</f>
        <v>NO</v>
      </c>
      <c r="O104" s="37" t="str">
        <f t="shared" si="15"/>
        <v>GOOD STOCK</v>
      </c>
      <c r="P104" s="40" t="str">
        <f t="shared" si="16"/>
        <v>Small cap stocks</v>
      </c>
    </row>
    <row r="105" hidden="1">
      <c r="A105" s="4" t="s">
        <v>114</v>
      </c>
      <c r="B105" s="41">
        <v>14279.03184</v>
      </c>
      <c r="C105" s="43">
        <v>1068.0</v>
      </c>
      <c r="D105" s="46" t="s">
        <v>15</v>
      </c>
      <c r="E105" s="43">
        <v>1215.4</v>
      </c>
      <c r="F105" s="44">
        <v>0.12127694586144486</v>
      </c>
      <c r="G105" s="43">
        <v>731.35</v>
      </c>
      <c r="H105" s="44">
        <v>0.4603131195733916</v>
      </c>
      <c r="I105" s="43">
        <v>1066.2</v>
      </c>
      <c r="J105" s="44">
        <v>0.0016882386043893776</v>
      </c>
      <c r="K105" s="45" t="s">
        <v>288</v>
      </c>
      <c r="L105" s="45" t="s">
        <v>479</v>
      </c>
      <c r="M105" s="45"/>
      <c r="N105" s="45"/>
      <c r="O105" s="45"/>
      <c r="P105" s="45"/>
    </row>
    <row r="106">
      <c r="A106" s="4" t="s">
        <v>79</v>
      </c>
      <c r="B106" s="34">
        <v>22090.03</v>
      </c>
      <c r="C106" s="35">
        <v>872.85</v>
      </c>
      <c r="D106" s="35">
        <v>42.96</v>
      </c>
      <c r="E106" s="35">
        <v>1095.0</v>
      </c>
      <c r="F106" s="36">
        <v>0.2028767123287671</v>
      </c>
      <c r="G106" s="35">
        <v>830.0</v>
      </c>
      <c r="H106" s="36">
        <v>0.051626506024096415</v>
      </c>
      <c r="I106" s="35">
        <v>868.6</v>
      </c>
      <c r="J106" s="36">
        <v>0.004892931153580474</v>
      </c>
      <c r="K106" s="37" t="s">
        <v>254</v>
      </c>
      <c r="L106" s="37" t="s">
        <v>354</v>
      </c>
      <c r="M106" s="38" t="str">
        <f t="array" ref="M106">IF(F106&gt;30%,"YES","NO")</f>
        <v>NO</v>
      </c>
      <c r="N106" s="39" t="str">
        <f t="array" ref="N106">IF(H106&lt;30%,"YES","NO")</f>
        <v>YES</v>
      </c>
      <c r="O106" s="37" t="str">
        <f t="shared" ref="O106:O107" si="17">if(AND(D106&lt;65,M106="NO",N106="NO"),"GOOD STOCK","")</f>
        <v/>
      </c>
      <c r="P106" s="40" t="str">
        <f t="shared" ref="P106:P107" si="18">ifs((B106/B$2)*100&gt;=60,"Large cap stocks",and((B106/B$2)*100&lt;60,(B106/B$2)*100&gt;40),"Medium cap stocks",(B106/B$2)*100&lt;40,"Small cap stocks")</f>
        <v>Small cap stocks</v>
      </c>
    </row>
    <row r="107">
      <c r="A107" s="4" t="s">
        <v>87</v>
      </c>
      <c r="B107" s="41">
        <v>21650.114525</v>
      </c>
      <c r="C107" s="43">
        <v>3635.0</v>
      </c>
      <c r="D107" s="43">
        <v>93.72</v>
      </c>
      <c r="E107" s="43">
        <v>5444.1</v>
      </c>
      <c r="F107" s="44">
        <v>0.33230469682775854</v>
      </c>
      <c r="G107" s="43">
        <v>3180.55</v>
      </c>
      <c r="H107" s="44">
        <v>0.1428840923739604</v>
      </c>
      <c r="I107" s="43">
        <v>3651.05</v>
      </c>
      <c r="J107" s="44">
        <v>-0.00439599567247783</v>
      </c>
      <c r="K107" s="45" t="s">
        <v>355</v>
      </c>
      <c r="L107" s="45" t="s">
        <v>356</v>
      </c>
      <c r="M107" s="38" t="str">
        <f t="array" ref="M107">IF(F107&gt;30%,"YES","NO")</f>
        <v>YES</v>
      </c>
      <c r="N107" s="39" t="str">
        <f t="array" ref="N107">IF(H107&lt;30%,"YES","NO")</f>
        <v>YES</v>
      </c>
      <c r="O107" s="45" t="str">
        <f t="shared" si="17"/>
        <v/>
      </c>
      <c r="P107" s="40" t="str">
        <f t="shared" si="18"/>
        <v>Small cap stocks</v>
      </c>
    </row>
    <row r="108" hidden="1">
      <c r="A108" s="4" t="s">
        <v>117</v>
      </c>
      <c r="B108" s="34">
        <v>8026.4791851</v>
      </c>
      <c r="C108" s="35">
        <v>293.1</v>
      </c>
      <c r="D108" s="35"/>
      <c r="E108" s="35">
        <v>579.95</v>
      </c>
      <c r="F108" s="36">
        <v>0.49461160444865937</v>
      </c>
      <c r="G108" s="35">
        <v>262.3</v>
      </c>
      <c r="H108" s="36">
        <v>0.1174227983225315</v>
      </c>
      <c r="I108" s="35">
        <v>289.1</v>
      </c>
      <c r="J108" s="36">
        <v>0.013836042891732963</v>
      </c>
      <c r="K108" s="37" t="s">
        <v>233</v>
      </c>
      <c r="L108" s="37" t="s">
        <v>480</v>
      </c>
      <c r="M108" s="37"/>
      <c r="N108" s="37"/>
      <c r="O108" s="37"/>
      <c r="P108" s="37"/>
    </row>
    <row r="109">
      <c r="A109" s="4" t="s">
        <v>83</v>
      </c>
      <c r="B109" s="41">
        <v>21451.6044776</v>
      </c>
      <c r="C109" s="43">
        <v>337.35</v>
      </c>
      <c r="D109" s="43">
        <v>36.77</v>
      </c>
      <c r="E109" s="43">
        <v>451.95</v>
      </c>
      <c r="F109" s="44">
        <v>0.2535678725522734</v>
      </c>
      <c r="G109" s="43">
        <v>312.0</v>
      </c>
      <c r="H109" s="44">
        <v>0.08125000000000007</v>
      </c>
      <c r="I109" s="43">
        <v>338.0</v>
      </c>
      <c r="J109" s="44">
        <v>-0.0019230769230768557</v>
      </c>
      <c r="K109" s="45" t="s">
        <v>282</v>
      </c>
      <c r="L109" s="45" t="s">
        <v>357</v>
      </c>
      <c r="M109" s="38" t="str">
        <f t="array" ref="M109">IF(F109&gt;30%,"YES","NO")</f>
        <v>NO</v>
      </c>
      <c r="N109" s="39" t="str">
        <f t="array" ref="N109">IF(H109&lt;30%,"YES","NO")</f>
        <v>YES</v>
      </c>
      <c r="O109" s="45" t="str">
        <f>if(AND(D109&lt;65,M109="NO",N109="NO"),"GOOD STOCK","")</f>
        <v/>
      </c>
      <c r="P109" s="40" t="str">
        <f>ifs((B109/B$2)*100&gt;=60,"Large cap stocks",and((B109/B$2)*100&lt;60,(B109/B$2)*100&gt;40),"Medium cap stocks",(B109/B$2)*100&lt;40,"Small cap stocks")</f>
        <v>Small cap stocks</v>
      </c>
    </row>
    <row r="110" hidden="1">
      <c r="A110" s="4" t="s">
        <v>119</v>
      </c>
      <c r="B110" s="34">
        <v>7486.15043</v>
      </c>
      <c r="C110" s="35">
        <v>629.0</v>
      </c>
      <c r="D110" s="35">
        <v>188.97</v>
      </c>
      <c r="E110" s="35">
        <v>1343.0</v>
      </c>
      <c r="F110" s="36">
        <v>0.5316455696202531</v>
      </c>
      <c r="G110" s="35">
        <v>570.0</v>
      </c>
      <c r="H110" s="36">
        <v>0.10350877192982456</v>
      </c>
      <c r="I110" s="35">
        <v>625.55</v>
      </c>
      <c r="J110" s="36">
        <v>0.005515146670929655</v>
      </c>
      <c r="K110" s="37" t="s">
        <v>257</v>
      </c>
      <c r="L110" s="37" t="s">
        <v>481</v>
      </c>
      <c r="M110" s="37"/>
      <c r="N110" s="37"/>
      <c r="O110" s="37"/>
      <c r="P110" s="37"/>
    </row>
    <row r="111">
      <c r="A111" s="4" t="s">
        <v>222</v>
      </c>
      <c r="B111" s="41">
        <v>21081.42</v>
      </c>
      <c r="C111" s="43">
        <v>581.8</v>
      </c>
      <c r="D111" s="43">
        <v>17.2</v>
      </c>
      <c r="E111" s="43">
        <v>1118.0</v>
      </c>
      <c r="F111" s="44">
        <v>0.4796064400715564</v>
      </c>
      <c r="G111" s="43">
        <v>579.0</v>
      </c>
      <c r="H111" s="44">
        <v>0.004835924006908385</v>
      </c>
      <c r="I111" s="43">
        <v>592.4</v>
      </c>
      <c r="J111" s="44">
        <v>-0.01789331532748147</v>
      </c>
      <c r="K111" s="45" t="s">
        <v>265</v>
      </c>
      <c r="L111" s="45" t="s">
        <v>358</v>
      </c>
      <c r="M111" s="38" t="str">
        <f t="array" ref="M111">IF(F111&gt;30%,"YES","NO")</f>
        <v>YES</v>
      </c>
      <c r="N111" s="39" t="str">
        <f t="array" ref="N111">IF(H111&lt;30%,"YES","NO")</f>
        <v>YES</v>
      </c>
      <c r="O111" s="45" t="str">
        <f t="shared" ref="O111:O133" si="19">if(AND(D111&lt;65,M111="NO",N111="NO"),"GOOD STOCK","")</f>
        <v/>
      </c>
      <c r="P111" s="40" t="str">
        <f t="shared" ref="P111:P133" si="20">ifs((B111/B$2)*100&gt;=60,"Large cap stocks",and((B111/B$2)*100&lt;60,(B111/B$2)*100&gt;40),"Medium cap stocks",(B111/B$2)*100&lt;40,"Small cap stocks")</f>
        <v>Small cap stocks</v>
      </c>
    </row>
    <row r="112">
      <c r="A112" s="4" t="s">
        <v>85</v>
      </c>
      <c r="B112" s="34">
        <v>21050.0222911</v>
      </c>
      <c r="C112" s="35">
        <v>4669.05</v>
      </c>
      <c r="D112" s="35">
        <v>29.86</v>
      </c>
      <c r="E112" s="35">
        <v>5667.75</v>
      </c>
      <c r="F112" s="36">
        <v>0.17620748974460762</v>
      </c>
      <c r="G112" s="35">
        <v>4218.05</v>
      </c>
      <c r="H112" s="36">
        <v>0.10692144474342409</v>
      </c>
      <c r="I112" s="35">
        <v>4647.55</v>
      </c>
      <c r="J112" s="36">
        <v>0.004626093317984745</v>
      </c>
      <c r="K112" s="37" t="s">
        <v>292</v>
      </c>
      <c r="L112" s="37" t="s">
        <v>359</v>
      </c>
      <c r="M112" s="38" t="str">
        <f t="array" ref="M112">IF(F112&gt;30%,"YES","NO")</f>
        <v>NO</v>
      </c>
      <c r="N112" s="39" t="str">
        <f t="array" ref="N112">IF(H112&lt;30%,"YES","NO")</f>
        <v>YES</v>
      </c>
      <c r="O112" s="37" t="str">
        <f t="shared" si="19"/>
        <v/>
      </c>
      <c r="P112" s="40" t="str">
        <f t="shared" si="20"/>
        <v>Small cap stocks</v>
      </c>
    </row>
    <row r="113">
      <c r="A113" s="4" t="s">
        <v>89</v>
      </c>
      <c r="B113" s="41">
        <v>20604.2</v>
      </c>
      <c r="C113" s="43">
        <v>2000.0</v>
      </c>
      <c r="D113" s="43">
        <v>51.19</v>
      </c>
      <c r="E113" s="43">
        <v>2377.0</v>
      </c>
      <c r="F113" s="44">
        <v>0.15860328144720234</v>
      </c>
      <c r="G113" s="43">
        <v>1674.2</v>
      </c>
      <c r="H113" s="44">
        <v>0.19460040616413807</v>
      </c>
      <c r="I113" s="43">
        <v>2014.85</v>
      </c>
      <c r="J113" s="44">
        <v>-0.007370275702905878</v>
      </c>
      <c r="K113" s="45" t="s">
        <v>265</v>
      </c>
      <c r="L113" s="45" t="s">
        <v>360</v>
      </c>
      <c r="M113" s="38" t="str">
        <f t="array" ref="M113">IF(F113&gt;30%,"YES","NO")</f>
        <v>NO</v>
      </c>
      <c r="N113" s="39" t="str">
        <f t="array" ref="N113">IF(H113&lt;30%,"YES","NO")</f>
        <v>YES</v>
      </c>
      <c r="O113" s="45" t="str">
        <f t="shared" si="19"/>
        <v/>
      </c>
      <c r="P113" s="40" t="str">
        <f t="shared" si="20"/>
        <v>Small cap stocks</v>
      </c>
    </row>
    <row r="114">
      <c r="A114" s="4" t="s">
        <v>80</v>
      </c>
      <c r="B114" s="34">
        <v>20286.8999472</v>
      </c>
      <c r="C114" s="35">
        <v>1580.0</v>
      </c>
      <c r="D114" s="35">
        <v>65.53</v>
      </c>
      <c r="E114" s="35">
        <v>2122.0</v>
      </c>
      <c r="F114" s="36">
        <v>0.2554194156456173</v>
      </c>
      <c r="G114" s="35">
        <v>1551.1</v>
      </c>
      <c r="H114" s="36">
        <v>0.01863193862420224</v>
      </c>
      <c r="I114" s="35">
        <v>1636.6</v>
      </c>
      <c r="J114" s="36">
        <v>-0.03458389343761451</v>
      </c>
      <c r="K114" s="37" t="s">
        <v>361</v>
      </c>
      <c r="L114" s="37" t="s">
        <v>362</v>
      </c>
      <c r="M114" s="38" t="str">
        <f t="array" ref="M114">IF(F114&gt;30%,"YES","NO")</f>
        <v>NO</v>
      </c>
      <c r="N114" s="39" t="str">
        <f t="array" ref="N114">IF(H114&lt;30%,"YES","NO")</f>
        <v>YES</v>
      </c>
      <c r="O114" s="37" t="str">
        <f t="shared" si="19"/>
        <v/>
      </c>
      <c r="P114" s="40" t="str">
        <f t="shared" si="20"/>
        <v>Small cap stocks</v>
      </c>
    </row>
    <row r="115">
      <c r="A115" s="4" t="s">
        <v>96</v>
      </c>
      <c r="B115" s="41">
        <v>20217.231452</v>
      </c>
      <c r="C115" s="43">
        <v>4080.6</v>
      </c>
      <c r="D115" s="43">
        <v>73.24</v>
      </c>
      <c r="E115" s="43">
        <v>4847.35</v>
      </c>
      <c r="F115" s="44">
        <v>0.15817921132165005</v>
      </c>
      <c r="G115" s="43">
        <v>3361.45</v>
      </c>
      <c r="H115" s="44">
        <v>0.2139404126195541</v>
      </c>
      <c r="I115" s="43">
        <v>4127.1</v>
      </c>
      <c r="J115" s="44">
        <v>-0.011266991349858363</v>
      </c>
      <c r="K115" s="45" t="s">
        <v>265</v>
      </c>
      <c r="L115" s="45" t="s">
        <v>363</v>
      </c>
      <c r="M115" s="38" t="str">
        <f t="array" ref="M115">IF(F115&gt;30%,"YES","NO")</f>
        <v>NO</v>
      </c>
      <c r="N115" s="39" t="str">
        <f t="array" ref="N115">IF(H115&lt;30%,"YES","NO")</f>
        <v>YES</v>
      </c>
      <c r="O115" s="45" t="str">
        <f t="shared" si="19"/>
        <v/>
      </c>
      <c r="P115" s="40" t="str">
        <f t="shared" si="20"/>
        <v>Small cap stocks</v>
      </c>
    </row>
    <row r="116">
      <c r="A116" s="4" t="s">
        <v>93</v>
      </c>
      <c r="B116" s="34">
        <v>19679.44</v>
      </c>
      <c r="C116" s="35">
        <v>1398.5</v>
      </c>
      <c r="D116" s="35">
        <v>42.23</v>
      </c>
      <c r="E116" s="35">
        <v>1736.15</v>
      </c>
      <c r="F116" s="36">
        <v>0.19448204360222335</v>
      </c>
      <c r="G116" s="35">
        <v>1047.2</v>
      </c>
      <c r="H116" s="36">
        <v>0.3354660045836516</v>
      </c>
      <c r="I116" s="35">
        <v>1401.15</v>
      </c>
      <c r="J116" s="36">
        <v>-0.001891303572065868</v>
      </c>
      <c r="K116" s="37" t="s">
        <v>294</v>
      </c>
      <c r="L116" s="37" t="s">
        <v>364</v>
      </c>
      <c r="M116" s="38" t="str">
        <f t="array" ref="M116">IF(F116&gt;30%,"YES","NO")</f>
        <v>NO</v>
      </c>
      <c r="N116" s="39" t="str">
        <f t="array" ref="N116">IF(H116&lt;30%,"YES","NO")</f>
        <v>NO</v>
      </c>
      <c r="O116" s="37" t="str">
        <f t="shared" si="19"/>
        <v>GOOD STOCK</v>
      </c>
      <c r="P116" s="40" t="str">
        <f t="shared" si="20"/>
        <v>Small cap stocks</v>
      </c>
    </row>
    <row r="117">
      <c r="A117" s="4" t="s">
        <v>94</v>
      </c>
      <c r="B117" s="41">
        <v>19278.55</v>
      </c>
      <c r="C117" s="43">
        <v>4224.9</v>
      </c>
      <c r="D117" s="43">
        <v>31.52</v>
      </c>
      <c r="E117" s="43">
        <v>4946.1</v>
      </c>
      <c r="F117" s="44">
        <v>0.14581185176199443</v>
      </c>
      <c r="G117" s="43">
        <v>4056.0</v>
      </c>
      <c r="H117" s="44">
        <v>0.04164201183431944</v>
      </c>
      <c r="I117" s="43">
        <v>4254.0</v>
      </c>
      <c r="J117" s="44">
        <v>-0.006840620592383724</v>
      </c>
      <c r="K117" s="45" t="s">
        <v>254</v>
      </c>
      <c r="L117" s="45" t="s">
        <v>365</v>
      </c>
      <c r="M117" s="38" t="str">
        <f t="array" ref="M117">IF(F117&gt;30%,"YES","NO")</f>
        <v>NO</v>
      </c>
      <c r="N117" s="39" t="str">
        <f t="array" ref="N117">IF(H117&lt;30%,"YES","NO")</f>
        <v>YES</v>
      </c>
      <c r="O117" s="45" t="str">
        <f t="shared" si="19"/>
        <v/>
      </c>
      <c r="P117" s="40" t="str">
        <f t="shared" si="20"/>
        <v>Small cap stocks</v>
      </c>
    </row>
    <row r="118">
      <c r="A118" s="4" t="s">
        <v>74</v>
      </c>
      <c r="B118" s="34">
        <v>19213.8702946</v>
      </c>
      <c r="C118" s="35">
        <v>357.4</v>
      </c>
      <c r="D118" s="35">
        <v>22.19</v>
      </c>
      <c r="E118" s="35">
        <v>626.3</v>
      </c>
      <c r="F118" s="36">
        <v>0.4293469583266805</v>
      </c>
      <c r="G118" s="35">
        <v>354.0</v>
      </c>
      <c r="H118" s="36">
        <v>0.009604519774011236</v>
      </c>
      <c r="I118" s="35">
        <v>360.4</v>
      </c>
      <c r="J118" s="36">
        <v>-0.008324084350721421</v>
      </c>
      <c r="K118" s="37" t="s">
        <v>254</v>
      </c>
      <c r="L118" s="37" t="s">
        <v>366</v>
      </c>
      <c r="M118" s="38" t="str">
        <f t="array" ref="M118">IF(F118&gt;30%,"YES","NO")</f>
        <v>YES</v>
      </c>
      <c r="N118" s="39" t="str">
        <f t="array" ref="N118">IF(H118&lt;30%,"YES","NO")</f>
        <v>YES</v>
      </c>
      <c r="O118" s="37" t="str">
        <f t="shared" si="19"/>
        <v/>
      </c>
      <c r="P118" s="40" t="str">
        <f t="shared" si="20"/>
        <v>Small cap stocks</v>
      </c>
    </row>
    <row r="119">
      <c r="A119" s="4" t="s">
        <v>105</v>
      </c>
      <c r="B119" s="41">
        <v>18827.9516699</v>
      </c>
      <c r="C119" s="43">
        <v>696.3</v>
      </c>
      <c r="D119" s="43">
        <v>59.82</v>
      </c>
      <c r="E119" s="43">
        <v>764.25</v>
      </c>
      <c r="F119" s="44">
        <v>0.08891069676153097</v>
      </c>
      <c r="G119" s="43">
        <v>440.0</v>
      </c>
      <c r="H119" s="44">
        <v>0.5824999999999999</v>
      </c>
      <c r="I119" s="43">
        <v>692.45</v>
      </c>
      <c r="J119" s="44">
        <v>0.005559968228752847</v>
      </c>
      <c r="K119" s="45" t="s">
        <v>233</v>
      </c>
      <c r="L119" s="45" t="s">
        <v>367</v>
      </c>
      <c r="M119" s="38" t="str">
        <f t="array" ref="M119">IF(F119&gt;30%,"YES","NO")</f>
        <v>NO</v>
      </c>
      <c r="N119" s="39" t="str">
        <f t="array" ref="N119">IF(H119&lt;30%,"YES","NO")</f>
        <v>NO</v>
      </c>
      <c r="O119" s="45" t="str">
        <f t="shared" si="19"/>
        <v>GOOD STOCK</v>
      </c>
      <c r="P119" s="40" t="str">
        <f t="shared" si="20"/>
        <v>Small cap stocks</v>
      </c>
    </row>
    <row r="120">
      <c r="A120" s="4" t="s">
        <v>90</v>
      </c>
      <c r="B120" s="34">
        <v>18318.3733666</v>
      </c>
      <c r="C120" s="35">
        <v>1441.55</v>
      </c>
      <c r="D120" s="35">
        <v>70.52</v>
      </c>
      <c r="E120" s="35">
        <v>1917.0</v>
      </c>
      <c r="F120" s="36">
        <v>0.24801773604590507</v>
      </c>
      <c r="G120" s="35">
        <v>1365.1</v>
      </c>
      <c r="H120" s="36">
        <v>0.05600322320709109</v>
      </c>
      <c r="I120" s="35">
        <v>1480.7</v>
      </c>
      <c r="J120" s="36">
        <v>-0.026440197204025184</v>
      </c>
      <c r="K120" s="37" t="s">
        <v>282</v>
      </c>
      <c r="L120" s="37" t="s">
        <v>368</v>
      </c>
      <c r="M120" s="38" t="str">
        <f t="array" ref="M120">IF(F120&gt;30%,"YES","NO")</f>
        <v>NO</v>
      </c>
      <c r="N120" s="39" t="str">
        <f t="array" ref="N120">IF(H120&lt;30%,"YES","NO")</f>
        <v>YES</v>
      </c>
      <c r="O120" s="37" t="str">
        <f t="shared" si="19"/>
        <v/>
      </c>
      <c r="P120" s="40" t="str">
        <f t="shared" si="20"/>
        <v>Small cap stocks</v>
      </c>
    </row>
    <row r="121">
      <c r="A121" s="4" t="s">
        <v>98</v>
      </c>
      <c r="B121" s="41">
        <v>17986.0053514</v>
      </c>
      <c r="C121" s="43">
        <v>2174.05</v>
      </c>
      <c r="D121" s="43">
        <v>72.77</v>
      </c>
      <c r="E121" s="43">
        <v>3769.95</v>
      </c>
      <c r="F121" s="44">
        <v>0.423321264207748</v>
      </c>
      <c r="G121" s="43">
        <v>1805.55</v>
      </c>
      <c r="H121" s="44">
        <v>0.20409293567057143</v>
      </c>
      <c r="I121" s="43">
        <v>2171.85</v>
      </c>
      <c r="J121" s="44">
        <v>0.0010129613002740857</v>
      </c>
      <c r="K121" s="45" t="s">
        <v>369</v>
      </c>
      <c r="L121" s="45" t="s">
        <v>370</v>
      </c>
      <c r="M121" s="38" t="str">
        <f t="array" ref="M121">IF(F121&gt;30%,"YES","NO")</f>
        <v>YES</v>
      </c>
      <c r="N121" s="39" t="str">
        <f t="array" ref="N121">IF(H121&lt;30%,"YES","NO")</f>
        <v>YES</v>
      </c>
      <c r="O121" s="45" t="str">
        <f t="shared" si="19"/>
        <v/>
      </c>
      <c r="P121" s="40" t="str">
        <f t="shared" si="20"/>
        <v>Small cap stocks</v>
      </c>
    </row>
    <row r="122">
      <c r="A122" s="4" t="s">
        <v>219</v>
      </c>
      <c r="B122" s="34">
        <v>17802.1935</v>
      </c>
      <c r="C122" s="35">
        <v>1118.0</v>
      </c>
      <c r="D122" s="35">
        <v>46.87</v>
      </c>
      <c r="E122" s="35">
        <v>1374.55</v>
      </c>
      <c r="F122" s="36">
        <v>0.186642901313157</v>
      </c>
      <c r="G122" s="35">
        <v>885.3</v>
      </c>
      <c r="H122" s="36">
        <v>0.262848751835536</v>
      </c>
      <c r="I122" s="35">
        <v>1112.5</v>
      </c>
      <c r="J122" s="36">
        <v>0.004943820224719101</v>
      </c>
      <c r="K122" s="37" t="s">
        <v>371</v>
      </c>
      <c r="L122" s="37" t="s">
        <v>372</v>
      </c>
      <c r="M122" s="38" t="str">
        <f t="array" ref="M122">IF(F122&gt;30%,"YES","NO")</f>
        <v>NO</v>
      </c>
      <c r="N122" s="39" t="str">
        <f t="array" ref="N122">IF(H122&lt;30%,"YES","NO")</f>
        <v>YES</v>
      </c>
      <c r="O122" s="37" t="str">
        <f t="shared" si="19"/>
        <v/>
      </c>
      <c r="P122" s="40" t="str">
        <f t="shared" si="20"/>
        <v>Small cap stocks</v>
      </c>
    </row>
    <row r="123">
      <c r="A123" s="4" t="s">
        <v>101</v>
      </c>
      <c r="B123" s="41">
        <v>17277.2</v>
      </c>
      <c r="C123" s="43">
        <v>5630.0</v>
      </c>
      <c r="D123" s="43">
        <v>32.19</v>
      </c>
      <c r="E123" s="43">
        <v>7328.75</v>
      </c>
      <c r="F123" s="44">
        <v>0.23179259764625618</v>
      </c>
      <c r="G123" s="43">
        <v>3457.1</v>
      </c>
      <c r="H123" s="44">
        <v>0.6285325851146916</v>
      </c>
      <c r="I123" s="43">
        <v>5672.25</v>
      </c>
      <c r="J123" s="44">
        <v>-0.0074485433469963416</v>
      </c>
      <c r="K123" s="45" t="s">
        <v>265</v>
      </c>
      <c r="L123" s="45" t="s">
        <v>373</v>
      </c>
      <c r="M123" s="38" t="str">
        <f t="array" ref="M123">IF(F123&gt;30%,"YES","NO")</f>
        <v>NO</v>
      </c>
      <c r="N123" s="39" t="str">
        <f t="array" ref="N123">IF(H123&lt;30%,"YES","NO")</f>
        <v>NO</v>
      </c>
      <c r="O123" s="45" t="str">
        <f t="shared" si="19"/>
        <v>GOOD STOCK</v>
      </c>
      <c r="P123" s="40" t="str">
        <f t="shared" si="20"/>
        <v>Small cap stocks</v>
      </c>
    </row>
    <row r="124">
      <c r="A124" s="4" t="s">
        <v>95</v>
      </c>
      <c r="B124" s="34">
        <v>16896.24225</v>
      </c>
      <c r="C124" s="35">
        <v>33.75</v>
      </c>
      <c r="D124" s="35">
        <v>30.44</v>
      </c>
      <c r="E124" s="35">
        <v>70.9</v>
      </c>
      <c r="F124" s="36">
        <v>0.5239774330042314</v>
      </c>
      <c r="G124" s="35">
        <v>30.45</v>
      </c>
      <c r="H124" s="36">
        <v>0.10837438423645322</v>
      </c>
      <c r="I124" s="35">
        <v>33.65</v>
      </c>
      <c r="J124" s="36">
        <v>0.00297176820208028</v>
      </c>
      <c r="K124" s="37" t="s">
        <v>304</v>
      </c>
      <c r="L124" s="37" t="s">
        <v>374</v>
      </c>
      <c r="M124" s="38" t="str">
        <f t="array" ref="M124">IF(F124&gt;30%,"YES","NO")</f>
        <v>YES</v>
      </c>
      <c r="N124" s="39" t="str">
        <f t="array" ref="N124">IF(H124&lt;30%,"YES","NO")</f>
        <v>YES</v>
      </c>
      <c r="O124" s="37" t="str">
        <f t="shared" si="19"/>
        <v/>
      </c>
      <c r="P124" s="40" t="str">
        <f t="shared" si="20"/>
        <v>Small cap stocks</v>
      </c>
    </row>
    <row r="125">
      <c r="A125" s="4" t="s">
        <v>175</v>
      </c>
      <c r="B125" s="41">
        <v>15766.33509</v>
      </c>
      <c r="C125" s="43">
        <v>252.6</v>
      </c>
      <c r="D125" s="43">
        <v>23.69</v>
      </c>
      <c r="E125" s="43">
        <v>375.2</v>
      </c>
      <c r="F125" s="44">
        <v>0.3267590618336887</v>
      </c>
      <c r="G125" s="43">
        <v>241.05</v>
      </c>
      <c r="H125" s="44">
        <v>0.04791537025513372</v>
      </c>
      <c r="I125" s="43">
        <v>251.9</v>
      </c>
      <c r="J125" s="44">
        <v>0.002778880508138105</v>
      </c>
      <c r="K125" s="45" t="s">
        <v>302</v>
      </c>
      <c r="L125" s="45" t="s">
        <v>375</v>
      </c>
      <c r="M125" s="38" t="str">
        <f t="array" ref="M125">IF(F125&gt;30%,"YES","NO")</f>
        <v>YES</v>
      </c>
      <c r="N125" s="39" t="str">
        <f t="array" ref="N125">IF(H125&lt;30%,"YES","NO")</f>
        <v>YES</v>
      </c>
      <c r="O125" s="45" t="str">
        <f t="shared" si="19"/>
        <v/>
      </c>
      <c r="P125" s="40" t="str">
        <f t="shared" si="20"/>
        <v>Small cap stocks</v>
      </c>
    </row>
    <row r="126">
      <c r="A126" s="4" t="s">
        <v>110</v>
      </c>
      <c r="B126" s="34">
        <v>15554.9906858</v>
      </c>
      <c r="C126" s="35">
        <v>182.85</v>
      </c>
      <c r="D126" s="35">
        <v>3.39</v>
      </c>
      <c r="E126" s="35">
        <v>194.2</v>
      </c>
      <c r="F126" s="36">
        <v>0.05844490216271882</v>
      </c>
      <c r="G126" s="35">
        <v>130.25</v>
      </c>
      <c r="H126" s="36">
        <v>0.4038387715930902</v>
      </c>
      <c r="I126" s="35">
        <v>182.65</v>
      </c>
      <c r="J126" s="36">
        <v>0.001094990418833773</v>
      </c>
      <c r="K126" s="37" t="s">
        <v>294</v>
      </c>
      <c r="L126" s="37" t="s">
        <v>376</v>
      </c>
      <c r="M126" s="38" t="str">
        <f t="array" ref="M126">IF(F126&gt;30%,"YES","NO")</f>
        <v>NO</v>
      </c>
      <c r="N126" s="39" t="str">
        <f t="array" ref="N126">IF(H126&lt;30%,"YES","NO")</f>
        <v>NO</v>
      </c>
      <c r="O126" s="37" t="str">
        <f t="shared" si="19"/>
        <v>GOOD STOCK</v>
      </c>
      <c r="P126" s="40" t="str">
        <f t="shared" si="20"/>
        <v>Small cap stocks</v>
      </c>
    </row>
    <row r="127">
      <c r="A127" s="4" t="s">
        <v>100</v>
      </c>
      <c r="B127" s="41">
        <v>15538.83</v>
      </c>
      <c r="C127" s="43">
        <v>1463.5</v>
      </c>
      <c r="D127" s="43">
        <v>61.9</v>
      </c>
      <c r="E127" s="43">
        <v>2624.0</v>
      </c>
      <c r="F127" s="44">
        <v>0.4422637195121951</v>
      </c>
      <c r="G127" s="43">
        <v>1410.1</v>
      </c>
      <c r="H127" s="44">
        <v>0.037869654634423155</v>
      </c>
      <c r="I127" s="43">
        <v>1471.05</v>
      </c>
      <c r="J127" s="44">
        <v>-0.005132388430032939</v>
      </c>
      <c r="K127" s="45" t="s">
        <v>265</v>
      </c>
      <c r="L127" s="45" t="s">
        <v>377</v>
      </c>
      <c r="M127" s="38" t="str">
        <f t="array" ref="M127">IF(F127&gt;30%,"YES","NO")</f>
        <v>YES</v>
      </c>
      <c r="N127" s="39" t="str">
        <f t="array" ref="N127">IF(H127&lt;30%,"YES","NO")</f>
        <v>YES</v>
      </c>
      <c r="O127" s="45" t="str">
        <f t="shared" si="19"/>
        <v/>
      </c>
      <c r="P127" s="40" t="str">
        <f t="shared" si="20"/>
        <v>Small cap stocks</v>
      </c>
    </row>
    <row r="128">
      <c r="A128" s="4" t="s">
        <v>210</v>
      </c>
      <c r="B128" s="34">
        <v>13811.7</v>
      </c>
      <c r="C128" s="35">
        <v>2714.9</v>
      </c>
      <c r="D128" s="35">
        <v>61.31</v>
      </c>
      <c r="E128" s="35">
        <v>3797.6</v>
      </c>
      <c r="F128" s="36">
        <v>0.28510111649462816</v>
      </c>
      <c r="G128" s="35">
        <v>2506.2</v>
      </c>
      <c r="H128" s="36">
        <v>0.08327348176522237</v>
      </c>
      <c r="I128" s="35">
        <v>2750.75</v>
      </c>
      <c r="J128" s="36">
        <v>-0.013032809233845281</v>
      </c>
      <c r="K128" s="37" t="s">
        <v>265</v>
      </c>
      <c r="L128" s="37" t="s">
        <v>378</v>
      </c>
      <c r="M128" s="38" t="str">
        <f t="array" ref="M128">IF(F128&gt;30%,"YES","NO")</f>
        <v>NO</v>
      </c>
      <c r="N128" s="39" t="str">
        <f t="array" ref="N128">IF(H128&lt;30%,"YES","NO")</f>
        <v>YES</v>
      </c>
      <c r="O128" s="37" t="str">
        <f t="shared" si="19"/>
        <v/>
      </c>
      <c r="P128" s="40" t="str">
        <f t="shared" si="20"/>
        <v>Small cap stocks</v>
      </c>
    </row>
    <row r="129">
      <c r="A129" s="4" t="s">
        <v>107</v>
      </c>
      <c r="B129" s="41">
        <v>13709.808</v>
      </c>
      <c r="C129" s="43">
        <v>4477.0</v>
      </c>
      <c r="D129" s="43">
        <v>56.62</v>
      </c>
      <c r="E129" s="43">
        <v>6898.75</v>
      </c>
      <c r="F129" s="44">
        <v>0.3510418554085885</v>
      </c>
      <c r="G129" s="43">
        <v>3676.0</v>
      </c>
      <c r="H129" s="44">
        <v>0.2178998911860718</v>
      </c>
      <c r="I129" s="43">
        <v>4446.55</v>
      </c>
      <c r="J129" s="44">
        <v>0.006848005757272451</v>
      </c>
      <c r="K129" s="45" t="s">
        <v>298</v>
      </c>
      <c r="L129" s="45" t="s">
        <v>379</v>
      </c>
      <c r="M129" s="38" t="str">
        <f t="array" ref="M129">IF(F129&gt;30%,"YES","NO")</f>
        <v>YES</v>
      </c>
      <c r="N129" s="39" t="str">
        <f t="array" ref="N129">IF(H129&lt;30%,"YES","NO")</f>
        <v>YES</v>
      </c>
      <c r="O129" s="45" t="str">
        <f t="shared" si="19"/>
        <v/>
      </c>
      <c r="P129" s="40" t="str">
        <f t="shared" si="20"/>
        <v>Small cap stocks</v>
      </c>
    </row>
    <row r="130">
      <c r="A130" s="4" t="s">
        <v>103</v>
      </c>
      <c r="B130" s="34">
        <v>13659.0</v>
      </c>
      <c r="C130" s="35">
        <v>1024.0</v>
      </c>
      <c r="D130" s="35">
        <v>55.83</v>
      </c>
      <c r="E130" s="35">
        <v>1511.0</v>
      </c>
      <c r="F130" s="36">
        <v>0.32230311052283256</v>
      </c>
      <c r="G130" s="35">
        <v>871.55</v>
      </c>
      <c r="H130" s="36">
        <v>0.17491824909643744</v>
      </c>
      <c r="I130" s="35">
        <v>1035.55</v>
      </c>
      <c r="J130" s="36">
        <v>-0.011153493312732321</v>
      </c>
      <c r="K130" s="37" t="s">
        <v>298</v>
      </c>
      <c r="L130" s="37" t="s">
        <v>380</v>
      </c>
      <c r="M130" s="38" t="str">
        <f t="array" ref="M130">IF(F130&gt;30%,"YES","NO")</f>
        <v>YES</v>
      </c>
      <c r="N130" s="39" t="str">
        <f t="array" ref="N130">IF(H130&lt;30%,"YES","NO")</f>
        <v>YES</v>
      </c>
      <c r="O130" s="37" t="str">
        <f t="shared" si="19"/>
        <v/>
      </c>
      <c r="P130" s="40" t="str">
        <f t="shared" si="20"/>
        <v>Small cap stocks</v>
      </c>
    </row>
    <row r="131">
      <c r="A131" s="4" t="s">
        <v>115</v>
      </c>
      <c r="B131" s="41">
        <v>12966.0743501</v>
      </c>
      <c r="C131" s="43">
        <v>1436.05</v>
      </c>
      <c r="D131" s="43">
        <v>30.59</v>
      </c>
      <c r="E131" s="43">
        <v>1662.45</v>
      </c>
      <c r="F131" s="44">
        <v>0.13618454690366633</v>
      </c>
      <c r="G131" s="43">
        <v>905.2</v>
      </c>
      <c r="H131" s="44">
        <v>0.5864449845338046</v>
      </c>
      <c r="I131" s="43">
        <v>1435.2</v>
      </c>
      <c r="J131" s="44">
        <v>5.922519509475397E-4</v>
      </c>
      <c r="K131" s="45" t="s">
        <v>282</v>
      </c>
      <c r="L131" s="45" t="s">
        <v>381</v>
      </c>
      <c r="M131" s="38" t="str">
        <f t="array" ref="M131">IF(F131&gt;30%,"YES","NO")</f>
        <v>NO</v>
      </c>
      <c r="N131" s="39" t="str">
        <f t="array" ref="N131">IF(H131&lt;30%,"YES","NO")</f>
        <v>NO</v>
      </c>
      <c r="O131" s="45" t="str">
        <f t="shared" si="19"/>
        <v>GOOD STOCK</v>
      </c>
      <c r="P131" s="40" t="str">
        <f t="shared" si="20"/>
        <v>Small cap stocks</v>
      </c>
    </row>
    <row r="132">
      <c r="A132" s="4" t="s">
        <v>99</v>
      </c>
      <c r="B132" s="34">
        <v>12685.7721399</v>
      </c>
      <c r="C132" s="35">
        <v>141.55</v>
      </c>
      <c r="D132" s="35">
        <v>41.14</v>
      </c>
      <c r="E132" s="35">
        <v>271.95</v>
      </c>
      <c r="F132" s="36">
        <v>0.4794999080713366</v>
      </c>
      <c r="G132" s="35">
        <v>129.25</v>
      </c>
      <c r="H132" s="36">
        <v>0.09516441005802717</v>
      </c>
      <c r="I132" s="35">
        <v>141.4</v>
      </c>
      <c r="J132" s="36">
        <v>0.001060820367751101</v>
      </c>
      <c r="K132" s="37" t="s">
        <v>298</v>
      </c>
      <c r="L132" s="37" t="s">
        <v>382</v>
      </c>
      <c r="M132" s="38" t="str">
        <f t="array" ref="M132">IF(F132&gt;30%,"YES","NO")</f>
        <v>YES</v>
      </c>
      <c r="N132" s="39" t="str">
        <f t="array" ref="N132">IF(H132&lt;30%,"YES","NO")</f>
        <v>YES</v>
      </c>
      <c r="O132" s="37" t="str">
        <f t="shared" si="19"/>
        <v/>
      </c>
      <c r="P132" s="40" t="str">
        <f t="shared" si="20"/>
        <v>Small cap stocks</v>
      </c>
    </row>
    <row r="133">
      <c r="A133" s="4" t="s">
        <v>108</v>
      </c>
      <c r="B133" s="41">
        <v>12642.1534329</v>
      </c>
      <c r="C133" s="43">
        <v>885.05</v>
      </c>
      <c r="D133" s="43">
        <v>59.08</v>
      </c>
      <c r="E133" s="43">
        <v>1359.85</v>
      </c>
      <c r="F133" s="44">
        <v>0.34915615692907304</v>
      </c>
      <c r="G133" s="43">
        <v>785.55</v>
      </c>
      <c r="H133" s="44">
        <v>0.12666284768633443</v>
      </c>
      <c r="I133" s="43">
        <v>884.65</v>
      </c>
      <c r="J133" s="44">
        <v>4.5215621997397534E-4</v>
      </c>
      <c r="K133" s="45" t="s">
        <v>233</v>
      </c>
      <c r="L133" s="45" t="s">
        <v>383</v>
      </c>
      <c r="M133" s="38" t="str">
        <f t="array" ref="M133">IF(F133&gt;30%,"YES","NO")</f>
        <v>YES</v>
      </c>
      <c r="N133" s="39" t="str">
        <f t="array" ref="N133">IF(H133&lt;30%,"YES","NO")</f>
        <v>YES</v>
      </c>
      <c r="O133" s="45" t="str">
        <f t="shared" si="19"/>
        <v/>
      </c>
      <c r="P133" s="40" t="str">
        <f t="shared" si="20"/>
        <v>Small cap stocks</v>
      </c>
    </row>
    <row r="134" hidden="1">
      <c r="A134" s="4" t="s">
        <v>143</v>
      </c>
      <c r="B134" s="34">
        <v>6810.58629</v>
      </c>
      <c r="C134" s="35">
        <v>171.0</v>
      </c>
      <c r="D134" s="49" t="s">
        <v>15</v>
      </c>
      <c r="E134" s="35">
        <v>279.7</v>
      </c>
      <c r="F134" s="36">
        <v>0.38863067572398996</v>
      </c>
      <c r="G134" s="35">
        <v>128.6</v>
      </c>
      <c r="H134" s="36">
        <v>0.32970451010886476</v>
      </c>
      <c r="I134" s="35">
        <v>170.15</v>
      </c>
      <c r="J134" s="36">
        <v>0.004995592124595911</v>
      </c>
      <c r="K134" s="37" t="s">
        <v>242</v>
      </c>
      <c r="L134" s="37" t="s">
        <v>482</v>
      </c>
      <c r="M134" s="37"/>
      <c r="N134" s="37"/>
      <c r="O134" s="37"/>
      <c r="P134" s="37"/>
    </row>
    <row r="135">
      <c r="A135" s="4" t="s">
        <v>106</v>
      </c>
      <c r="B135" s="41">
        <v>12260.1</v>
      </c>
      <c r="C135" s="43">
        <v>1260.0</v>
      </c>
      <c r="D135" s="43">
        <v>57.79</v>
      </c>
      <c r="E135" s="43">
        <v>2027.0</v>
      </c>
      <c r="F135" s="44">
        <v>0.37839171188949183</v>
      </c>
      <c r="G135" s="43">
        <v>1204.15</v>
      </c>
      <c r="H135" s="44">
        <v>0.046381264792592206</v>
      </c>
      <c r="I135" s="43">
        <v>1251.3</v>
      </c>
      <c r="J135" s="44">
        <v>0.006952769120115117</v>
      </c>
      <c r="K135" s="45" t="s">
        <v>384</v>
      </c>
      <c r="L135" s="45" t="s">
        <v>385</v>
      </c>
      <c r="M135" s="38" t="str">
        <f t="array" ref="M135">IF(F135&gt;30%,"YES","NO")</f>
        <v>YES</v>
      </c>
      <c r="N135" s="39" t="str">
        <f t="array" ref="N135">IF(H135&lt;30%,"YES","NO")</f>
        <v>YES</v>
      </c>
      <c r="O135" s="45" t="str">
        <f t="shared" ref="O135:O149" si="21">if(AND(D135&lt;65,M135="NO",N135="NO"),"GOOD STOCK","")</f>
        <v/>
      </c>
      <c r="P135" s="40" t="str">
        <f t="shared" ref="P135:P149" si="22">ifs((B135/B$2)*100&gt;=60,"Large cap stocks",and((B135/B$2)*100&lt;60,(B135/B$2)*100&gt;40),"Medium cap stocks",(B135/B$2)*100&lt;40,"Small cap stocks")</f>
        <v>Small cap stocks</v>
      </c>
    </row>
    <row r="136">
      <c r="A136" s="4" t="s">
        <v>111</v>
      </c>
      <c r="B136" s="34">
        <v>11658.528175</v>
      </c>
      <c r="C136" s="35">
        <v>523.9</v>
      </c>
      <c r="D136" s="35">
        <v>31.54</v>
      </c>
      <c r="E136" s="35">
        <v>749.0</v>
      </c>
      <c r="F136" s="36">
        <v>0.30053404539385853</v>
      </c>
      <c r="G136" s="35">
        <v>484.7</v>
      </c>
      <c r="H136" s="36">
        <v>0.08087476789766863</v>
      </c>
      <c r="I136" s="35">
        <v>517.65</v>
      </c>
      <c r="J136" s="36">
        <v>0.012073795035255483</v>
      </c>
      <c r="K136" s="37" t="s">
        <v>386</v>
      </c>
      <c r="L136" s="37" t="s">
        <v>387</v>
      </c>
      <c r="M136" s="38" t="str">
        <f t="array" ref="M136">IF(F136&gt;30%,"YES","NO")</f>
        <v>YES</v>
      </c>
      <c r="N136" s="39" t="str">
        <f t="array" ref="N136">IF(H136&lt;30%,"YES","NO")</f>
        <v>YES</v>
      </c>
      <c r="O136" s="37" t="str">
        <f t="shared" si="21"/>
        <v/>
      </c>
      <c r="P136" s="40" t="str">
        <f t="shared" si="22"/>
        <v>Small cap stocks</v>
      </c>
    </row>
    <row r="137">
      <c r="A137" s="4" t="s">
        <v>109</v>
      </c>
      <c r="B137" s="41">
        <v>11261.44</v>
      </c>
      <c r="C137" s="43">
        <v>1077.9</v>
      </c>
      <c r="D137" s="43">
        <v>37.61</v>
      </c>
      <c r="E137" s="43">
        <v>1654.0</v>
      </c>
      <c r="F137" s="44">
        <v>0.3483071342200725</v>
      </c>
      <c r="G137" s="43">
        <v>1015.0</v>
      </c>
      <c r="H137" s="44">
        <v>0.06197044334975378</v>
      </c>
      <c r="I137" s="43">
        <v>1078.65</v>
      </c>
      <c r="J137" s="44">
        <v>-6.953135864274788E-4</v>
      </c>
      <c r="K137" s="45" t="s">
        <v>298</v>
      </c>
      <c r="L137" s="45" t="s">
        <v>109</v>
      </c>
      <c r="M137" s="38" t="str">
        <f t="array" ref="M137">IF(F137&gt;30%,"YES","NO")</f>
        <v>YES</v>
      </c>
      <c r="N137" s="39" t="str">
        <f t="array" ref="N137">IF(H137&lt;30%,"YES","NO")</f>
        <v>YES</v>
      </c>
      <c r="O137" s="45" t="str">
        <f t="shared" si="21"/>
        <v/>
      </c>
      <c r="P137" s="40" t="str">
        <f t="shared" si="22"/>
        <v>Small cap stocks</v>
      </c>
    </row>
    <row r="138">
      <c r="A138" s="4" t="s">
        <v>113</v>
      </c>
      <c r="B138" s="34">
        <v>11180.9471528</v>
      </c>
      <c r="C138" s="35">
        <v>2274.0</v>
      </c>
      <c r="D138" s="35">
        <v>38.87</v>
      </c>
      <c r="E138" s="35">
        <v>2971.5</v>
      </c>
      <c r="F138" s="36">
        <v>0.2347299343765775</v>
      </c>
      <c r="G138" s="35">
        <v>2037.15</v>
      </c>
      <c r="H138" s="36">
        <v>0.11626537073853173</v>
      </c>
      <c r="I138" s="35">
        <v>2235.75</v>
      </c>
      <c r="J138" s="36">
        <v>0.017108352901710835</v>
      </c>
      <c r="K138" s="37" t="s">
        <v>298</v>
      </c>
      <c r="L138" s="37" t="s">
        <v>388</v>
      </c>
      <c r="M138" s="38" t="str">
        <f t="array" ref="M138">IF(F138&gt;30%,"YES","NO")</f>
        <v>NO</v>
      </c>
      <c r="N138" s="39" t="str">
        <f t="array" ref="N138">IF(H138&lt;30%,"YES","NO")</f>
        <v>YES</v>
      </c>
      <c r="O138" s="37" t="str">
        <f t="shared" si="21"/>
        <v/>
      </c>
      <c r="P138" s="40" t="str">
        <f t="shared" si="22"/>
        <v>Small cap stocks</v>
      </c>
    </row>
    <row r="139">
      <c r="A139" s="4" t="s">
        <v>173</v>
      </c>
      <c r="B139" s="41">
        <v>11060.0657861</v>
      </c>
      <c r="C139" s="43">
        <v>1601.0</v>
      </c>
      <c r="D139" s="43">
        <v>21.39</v>
      </c>
      <c r="E139" s="43">
        <v>1722.1</v>
      </c>
      <c r="F139" s="44">
        <v>0.0703211195633238</v>
      </c>
      <c r="G139" s="43">
        <v>1271.6</v>
      </c>
      <c r="H139" s="44">
        <v>0.2590437244416484</v>
      </c>
      <c r="I139" s="43">
        <v>1599.4</v>
      </c>
      <c r="J139" s="44">
        <v>0.0010003751406776973</v>
      </c>
      <c r="K139" s="45" t="s">
        <v>237</v>
      </c>
      <c r="L139" s="45" t="s">
        <v>389</v>
      </c>
      <c r="M139" s="38" t="str">
        <f t="array" ref="M139">IF(F139&gt;30%,"YES","NO")</f>
        <v>NO</v>
      </c>
      <c r="N139" s="39" t="str">
        <f t="array" ref="N139">IF(H139&lt;30%,"YES","NO")</f>
        <v>YES</v>
      </c>
      <c r="O139" s="45" t="str">
        <f t="shared" si="21"/>
        <v/>
      </c>
      <c r="P139" s="40" t="str">
        <f t="shared" si="22"/>
        <v>Small cap stocks</v>
      </c>
    </row>
    <row r="140">
      <c r="A140" s="4" t="s">
        <v>112</v>
      </c>
      <c r="B140" s="34">
        <v>10943.5753</v>
      </c>
      <c r="C140" s="35">
        <v>789.5</v>
      </c>
      <c r="D140" s="35">
        <v>35.54</v>
      </c>
      <c r="E140" s="35">
        <v>1049.9</v>
      </c>
      <c r="F140" s="36">
        <v>0.24802362129726646</v>
      </c>
      <c r="G140" s="35">
        <v>744.7</v>
      </c>
      <c r="H140" s="36">
        <v>0.060158453068349604</v>
      </c>
      <c r="I140" s="35">
        <v>794.05</v>
      </c>
      <c r="J140" s="36">
        <v>-0.005730117750771305</v>
      </c>
      <c r="K140" s="37" t="s">
        <v>282</v>
      </c>
      <c r="L140" s="37" t="s">
        <v>390</v>
      </c>
      <c r="M140" s="38" t="str">
        <f t="array" ref="M140">IF(F140&gt;30%,"YES","NO")</f>
        <v>NO</v>
      </c>
      <c r="N140" s="39" t="str">
        <f t="array" ref="N140">IF(H140&lt;30%,"YES","NO")</f>
        <v>YES</v>
      </c>
      <c r="O140" s="37" t="str">
        <f t="shared" si="21"/>
        <v/>
      </c>
      <c r="P140" s="40" t="str">
        <f t="shared" si="22"/>
        <v>Small cap stocks</v>
      </c>
    </row>
    <row r="141">
      <c r="A141" s="4" t="s">
        <v>102</v>
      </c>
      <c r="B141" s="41">
        <v>10913.18</v>
      </c>
      <c r="C141" s="43">
        <v>555.0</v>
      </c>
      <c r="D141" s="43">
        <v>42.84</v>
      </c>
      <c r="E141" s="43">
        <v>822.8</v>
      </c>
      <c r="F141" s="44">
        <v>0.3254739912493923</v>
      </c>
      <c r="G141" s="43">
        <v>540.0</v>
      </c>
      <c r="H141" s="44">
        <v>0.027777777777777776</v>
      </c>
      <c r="I141" s="43">
        <v>557.4</v>
      </c>
      <c r="J141" s="44">
        <v>-0.004305705059203404</v>
      </c>
      <c r="K141" s="45" t="s">
        <v>254</v>
      </c>
      <c r="L141" s="45" t="s">
        <v>391</v>
      </c>
      <c r="M141" s="38" t="str">
        <f t="array" ref="M141">IF(F141&gt;30%,"YES","NO")</f>
        <v>YES</v>
      </c>
      <c r="N141" s="39" t="str">
        <f t="array" ref="N141">IF(H141&lt;30%,"YES","NO")</f>
        <v>YES</v>
      </c>
      <c r="O141" s="45" t="str">
        <f t="shared" si="21"/>
        <v/>
      </c>
      <c r="P141" s="40" t="str">
        <f t="shared" si="22"/>
        <v>Small cap stocks</v>
      </c>
    </row>
    <row r="142">
      <c r="A142" s="4" t="s">
        <v>120</v>
      </c>
      <c r="B142" s="34">
        <v>10644.74</v>
      </c>
      <c r="C142" s="35">
        <v>173.0</v>
      </c>
      <c r="D142" s="35">
        <v>15.85</v>
      </c>
      <c r="E142" s="35">
        <v>204.5</v>
      </c>
      <c r="F142" s="36">
        <v>0.15403422982885084</v>
      </c>
      <c r="G142" s="35">
        <v>128.0</v>
      </c>
      <c r="H142" s="36">
        <v>0.3515625</v>
      </c>
      <c r="I142" s="35">
        <v>170.9</v>
      </c>
      <c r="J142" s="36">
        <v>0.012287887653598561</v>
      </c>
      <c r="K142" s="37" t="s">
        <v>312</v>
      </c>
      <c r="L142" s="37" t="s">
        <v>392</v>
      </c>
      <c r="M142" s="38" t="str">
        <f t="array" ref="M142">IF(F142&gt;30%,"YES","NO")</f>
        <v>NO</v>
      </c>
      <c r="N142" s="39" t="str">
        <f t="array" ref="N142">IF(H142&lt;30%,"YES","NO")</f>
        <v>NO</v>
      </c>
      <c r="O142" s="37" t="str">
        <f t="shared" si="21"/>
        <v>GOOD STOCK</v>
      </c>
      <c r="P142" s="40" t="str">
        <f t="shared" si="22"/>
        <v>Small cap stocks</v>
      </c>
    </row>
    <row r="143">
      <c r="A143" s="4" t="s">
        <v>128</v>
      </c>
      <c r="B143" s="41">
        <v>10287.9254057</v>
      </c>
      <c r="C143" s="43">
        <v>121.55</v>
      </c>
      <c r="D143" s="43">
        <v>8.7</v>
      </c>
      <c r="E143" s="43">
        <v>173.75</v>
      </c>
      <c r="F143" s="44">
        <v>0.300431654676259</v>
      </c>
      <c r="G143" s="43">
        <v>81.5</v>
      </c>
      <c r="H143" s="44">
        <v>0.4914110429447852</v>
      </c>
      <c r="I143" s="43">
        <v>120.15</v>
      </c>
      <c r="J143" s="44">
        <v>0.011652101539741918</v>
      </c>
      <c r="K143" s="45" t="s">
        <v>244</v>
      </c>
      <c r="L143" s="45" t="s">
        <v>393</v>
      </c>
      <c r="M143" s="38" t="str">
        <f t="array" ref="M143">IF(F143&gt;30%,"YES","NO")</f>
        <v>YES</v>
      </c>
      <c r="N143" s="39" t="str">
        <f t="array" ref="N143">IF(H143&lt;30%,"YES","NO")</f>
        <v>NO</v>
      </c>
      <c r="O143" s="45" t="str">
        <f t="shared" si="21"/>
        <v/>
      </c>
      <c r="P143" s="40" t="str">
        <f t="shared" si="22"/>
        <v>Small cap stocks</v>
      </c>
    </row>
    <row r="144">
      <c r="A144" s="4" t="s">
        <v>122</v>
      </c>
      <c r="B144" s="34">
        <v>10284.2865</v>
      </c>
      <c r="C144" s="35">
        <v>807.2</v>
      </c>
      <c r="D144" s="35">
        <v>21.59</v>
      </c>
      <c r="E144" s="35">
        <v>1096.05</v>
      </c>
      <c r="F144" s="36">
        <v>0.263537247388349</v>
      </c>
      <c r="G144" s="35">
        <v>595.0</v>
      </c>
      <c r="H144" s="36">
        <v>0.35663865546218493</v>
      </c>
      <c r="I144" s="35">
        <v>812.9</v>
      </c>
      <c r="J144" s="36">
        <v>-0.007011932587033992</v>
      </c>
      <c r="K144" s="37" t="s">
        <v>302</v>
      </c>
      <c r="L144" s="37" t="s">
        <v>394</v>
      </c>
      <c r="M144" s="38" t="str">
        <f t="array" ref="M144">IF(F144&gt;30%,"YES","NO")</f>
        <v>NO</v>
      </c>
      <c r="N144" s="39" t="str">
        <f t="array" ref="N144">IF(H144&lt;30%,"YES","NO")</f>
        <v>NO</v>
      </c>
      <c r="O144" s="37" t="str">
        <f t="shared" si="21"/>
        <v>GOOD STOCK</v>
      </c>
      <c r="P144" s="40" t="str">
        <f t="shared" si="22"/>
        <v>Small cap stocks</v>
      </c>
    </row>
    <row r="145">
      <c r="A145" s="4" t="s">
        <v>126</v>
      </c>
      <c r="B145" s="41">
        <v>10126.79307</v>
      </c>
      <c r="C145" s="43">
        <v>73.6</v>
      </c>
      <c r="D145" s="43">
        <v>36.15</v>
      </c>
      <c r="E145" s="43">
        <v>101.35</v>
      </c>
      <c r="F145" s="44">
        <v>0.2738036507153429</v>
      </c>
      <c r="G145" s="43">
        <v>51.55</v>
      </c>
      <c r="H145" s="44">
        <v>0.42774005819592625</v>
      </c>
      <c r="I145" s="43">
        <v>72.4</v>
      </c>
      <c r="J145" s="44">
        <v>0.01657458563535896</v>
      </c>
      <c r="K145" s="45" t="s">
        <v>242</v>
      </c>
      <c r="L145" s="45" t="s">
        <v>395</v>
      </c>
      <c r="M145" s="38" t="str">
        <f t="array" ref="M145">IF(F145&gt;30%,"YES","NO")</f>
        <v>NO</v>
      </c>
      <c r="N145" s="39" t="str">
        <f t="array" ref="N145">IF(H145&lt;30%,"YES","NO")</f>
        <v>NO</v>
      </c>
      <c r="O145" s="45" t="str">
        <f t="shared" si="21"/>
        <v>GOOD STOCK</v>
      </c>
      <c r="P145" s="40" t="str">
        <f t="shared" si="22"/>
        <v>Small cap stocks</v>
      </c>
    </row>
    <row r="146">
      <c r="A146" s="4" t="s">
        <v>104</v>
      </c>
      <c r="B146" s="34">
        <v>9951.4177429</v>
      </c>
      <c r="C146" s="35">
        <v>731.9</v>
      </c>
      <c r="D146" s="35">
        <v>19.49</v>
      </c>
      <c r="E146" s="35">
        <v>2094.4</v>
      </c>
      <c r="F146" s="36">
        <v>0.6505443086325439</v>
      </c>
      <c r="G146" s="35">
        <v>584.8</v>
      </c>
      <c r="H146" s="36">
        <v>0.25153898768809857</v>
      </c>
      <c r="I146" s="35">
        <v>724.3</v>
      </c>
      <c r="J146" s="36">
        <v>0.010492889686593985</v>
      </c>
      <c r="K146" s="37" t="s">
        <v>298</v>
      </c>
      <c r="L146" s="37" t="s">
        <v>396</v>
      </c>
      <c r="M146" s="38" t="str">
        <f t="array" ref="M146">IF(F146&gt;30%,"YES","NO")</f>
        <v>YES</v>
      </c>
      <c r="N146" s="39" t="str">
        <f t="array" ref="N146">IF(H146&lt;30%,"YES","NO")</f>
        <v>YES</v>
      </c>
      <c r="O146" s="37" t="str">
        <f t="shared" si="21"/>
        <v/>
      </c>
      <c r="P146" s="40" t="str">
        <f t="shared" si="22"/>
        <v>Small cap stocks</v>
      </c>
    </row>
    <row r="147">
      <c r="A147" s="4" t="s">
        <v>123</v>
      </c>
      <c r="B147" s="41">
        <v>9847.33486</v>
      </c>
      <c r="C147" s="43">
        <v>576.5</v>
      </c>
      <c r="D147" s="43">
        <v>17.05</v>
      </c>
      <c r="E147" s="43">
        <v>668.15</v>
      </c>
      <c r="F147" s="44">
        <v>0.13716979720122724</v>
      </c>
      <c r="G147" s="43">
        <v>438.05</v>
      </c>
      <c r="H147" s="44">
        <v>0.31605981052391274</v>
      </c>
      <c r="I147" s="43">
        <v>590.95</v>
      </c>
      <c r="J147" s="44">
        <v>-0.02445215331246306</v>
      </c>
      <c r="K147" s="45" t="s">
        <v>294</v>
      </c>
      <c r="L147" s="45" t="s">
        <v>397</v>
      </c>
      <c r="M147" s="38" t="str">
        <f t="array" ref="M147">IF(F147&gt;30%,"YES","NO")</f>
        <v>NO</v>
      </c>
      <c r="N147" s="39" t="str">
        <f t="array" ref="N147">IF(H147&lt;30%,"YES","NO")</f>
        <v>NO</v>
      </c>
      <c r="O147" s="45" t="str">
        <f t="shared" si="21"/>
        <v>GOOD STOCK</v>
      </c>
      <c r="P147" s="40" t="str">
        <f t="shared" si="22"/>
        <v>Small cap stocks</v>
      </c>
    </row>
    <row r="148">
      <c r="A148" s="4" t="s">
        <v>206</v>
      </c>
      <c r="B148" s="34">
        <v>9606.1541</v>
      </c>
      <c r="C148" s="35">
        <v>876.0</v>
      </c>
      <c r="D148" s="35">
        <v>19.98</v>
      </c>
      <c r="E148" s="35">
        <v>1051.85</v>
      </c>
      <c r="F148" s="36">
        <v>0.16718163236202874</v>
      </c>
      <c r="G148" s="35">
        <v>720.0</v>
      </c>
      <c r="H148" s="36">
        <v>0.21666666666666667</v>
      </c>
      <c r="I148" s="35">
        <v>883.3</v>
      </c>
      <c r="J148" s="36">
        <v>-0.008264462809917304</v>
      </c>
      <c r="K148" s="37" t="s">
        <v>317</v>
      </c>
      <c r="L148" s="37" t="s">
        <v>398</v>
      </c>
      <c r="M148" s="38" t="str">
        <f t="array" ref="M148">IF(F148&gt;30%,"YES","NO")</f>
        <v>NO</v>
      </c>
      <c r="N148" s="39" t="str">
        <f t="array" ref="N148">IF(H148&lt;30%,"YES","NO")</f>
        <v>YES</v>
      </c>
      <c r="O148" s="37" t="str">
        <f t="shared" si="21"/>
        <v/>
      </c>
      <c r="P148" s="40" t="str">
        <f t="shared" si="22"/>
        <v>Small cap stocks</v>
      </c>
    </row>
    <row r="149">
      <c r="A149" s="4" t="s">
        <v>133</v>
      </c>
      <c r="B149" s="41">
        <v>8815.8228535</v>
      </c>
      <c r="C149" s="43">
        <v>3515.05</v>
      </c>
      <c r="D149" s="43">
        <v>95.35</v>
      </c>
      <c r="E149" s="43">
        <v>3619.7</v>
      </c>
      <c r="F149" s="44">
        <v>0.028911235737768225</v>
      </c>
      <c r="G149" s="43">
        <v>2437.75</v>
      </c>
      <c r="H149" s="44">
        <v>0.44192390524048825</v>
      </c>
      <c r="I149" s="43">
        <v>3443.4</v>
      </c>
      <c r="J149" s="44">
        <v>0.020807922402276847</v>
      </c>
      <c r="K149" s="45" t="s">
        <v>254</v>
      </c>
      <c r="L149" s="45" t="s">
        <v>399</v>
      </c>
      <c r="M149" s="38" t="str">
        <f t="array" ref="M149">IF(F149&gt;30%,"YES","NO")</f>
        <v>NO</v>
      </c>
      <c r="N149" s="39" t="str">
        <f t="array" ref="N149">IF(H149&lt;30%,"YES","NO")</f>
        <v>NO</v>
      </c>
      <c r="O149" s="45" t="str">
        <f t="shared" si="21"/>
        <v/>
      </c>
      <c r="P149" s="40" t="str">
        <f t="shared" si="22"/>
        <v>Small cap stocks</v>
      </c>
    </row>
    <row r="150" hidden="1">
      <c r="A150" s="4" t="s">
        <v>159</v>
      </c>
      <c r="B150" s="34">
        <v>2119.46</v>
      </c>
      <c r="C150" s="35">
        <v>85.4</v>
      </c>
      <c r="D150" s="35">
        <v>302.86</v>
      </c>
      <c r="E150" s="35">
        <v>204.45</v>
      </c>
      <c r="F150" s="36">
        <v>0.582293959403277</v>
      </c>
      <c r="G150" s="35">
        <v>81.4</v>
      </c>
      <c r="H150" s="36">
        <v>0.04914004914004914</v>
      </c>
      <c r="I150" s="35">
        <v>85.45</v>
      </c>
      <c r="J150" s="36">
        <v>-5.851375073141856E-4</v>
      </c>
      <c r="K150" s="37" t="s">
        <v>254</v>
      </c>
      <c r="L150" s="37" t="s">
        <v>483</v>
      </c>
      <c r="M150" s="37"/>
      <c r="N150" s="37"/>
      <c r="O150" s="37"/>
      <c r="P150" s="37"/>
    </row>
    <row r="151">
      <c r="A151" s="4" t="s">
        <v>130</v>
      </c>
      <c r="B151" s="41">
        <v>8584.669055</v>
      </c>
      <c r="C151" s="43">
        <v>891.5</v>
      </c>
      <c r="D151" s="43">
        <v>61.12</v>
      </c>
      <c r="E151" s="43">
        <v>1044.4</v>
      </c>
      <c r="F151" s="44">
        <v>0.14639984680199164</v>
      </c>
      <c r="G151" s="43">
        <v>652.3</v>
      </c>
      <c r="H151" s="44">
        <v>0.36670243752874454</v>
      </c>
      <c r="I151" s="43">
        <v>897.9</v>
      </c>
      <c r="J151" s="44">
        <v>-0.00712774251030179</v>
      </c>
      <c r="K151" s="45" t="s">
        <v>369</v>
      </c>
      <c r="L151" s="50" t="s">
        <v>400</v>
      </c>
      <c r="M151" s="38" t="str">
        <f t="array" ref="M151">IF(F151&gt;30%,"YES","NO")</f>
        <v>NO</v>
      </c>
      <c r="N151" s="39" t="str">
        <f t="array" ref="N151">IF(H151&lt;30%,"YES","NO")</f>
        <v>NO</v>
      </c>
      <c r="O151" s="45" t="str">
        <f>if(AND(D151&lt;65,M151="NO",N151="NO"),"GOOD STOCK","")</f>
        <v>GOOD STOCK</v>
      </c>
      <c r="P151" s="40" t="str">
        <f>ifs((B151/B$2)*100&gt;=60,"Large cap stocks",and((B151/B$2)*100&lt;60,(B151/B$2)*100&gt;40),"Medium cap stocks",(B151/B$2)*100&lt;40,"Small cap stocks")</f>
        <v>Small cap stocks</v>
      </c>
    </row>
    <row r="152" hidden="1">
      <c r="A152" s="4" t="s">
        <v>161</v>
      </c>
      <c r="B152" s="34">
        <v>2676.336957</v>
      </c>
      <c r="C152" s="35">
        <v>10430.0</v>
      </c>
      <c r="D152" s="35">
        <v>139.72</v>
      </c>
      <c r="E152" s="35">
        <v>14131.25</v>
      </c>
      <c r="F152" s="36">
        <v>0.26191950464396285</v>
      </c>
      <c r="G152" s="35">
        <v>8050.0</v>
      </c>
      <c r="H152" s="36">
        <v>0.2956521739130435</v>
      </c>
      <c r="I152" s="35">
        <v>10411.1</v>
      </c>
      <c r="J152" s="36">
        <v>0.0018153701337994673</v>
      </c>
      <c r="K152" s="37" t="s">
        <v>280</v>
      </c>
      <c r="L152" s="37" t="s">
        <v>484</v>
      </c>
      <c r="M152" s="37"/>
      <c r="N152" s="37"/>
      <c r="O152" s="37"/>
      <c r="P152" s="37"/>
    </row>
    <row r="153">
      <c r="A153" s="4" t="s">
        <v>174</v>
      </c>
      <c r="B153" s="41">
        <v>8463.6612353</v>
      </c>
      <c r="C153" s="43">
        <v>553.4</v>
      </c>
      <c r="D153" s="43">
        <v>15.6</v>
      </c>
      <c r="E153" s="43">
        <v>593.9</v>
      </c>
      <c r="F153" s="44">
        <v>0.06819329853510692</v>
      </c>
      <c r="G153" s="43">
        <v>343.5</v>
      </c>
      <c r="H153" s="44">
        <v>0.6110625909752546</v>
      </c>
      <c r="I153" s="43">
        <v>539.85</v>
      </c>
      <c r="J153" s="44">
        <v>0.02509956469389637</v>
      </c>
      <c r="K153" s="45" t="s">
        <v>282</v>
      </c>
      <c r="L153" s="45" t="s">
        <v>401</v>
      </c>
      <c r="M153" s="38" t="str">
        <f t="array" ref="M153">IF(F153&gt;30%,"YES","NO")</f>
        <v>NO</v>
      </c>
      <c r="N153" s="39" t="str">
        <f t="array" ref="N153">IF(H153&lt;30%,"YES","NO")</f>
        <v>NO</v>
      </c>
      <c r="O153" s="45" t="str">
        <f t="shared" ref="O153:O156" si="23">if(AND(D153&lt;65,M153="NO",N153="NO"),"GOOD STOCK","")</f>
        <v>GOOD STOCK</v>
      </c>
      <c r="P153" s="40" t="str">
        <f t="shared" ref="P153:P156" si="24">ifs((B153/B$2)*100&gt;=60,"Large cap stocks",and((B153/B$2)*100&lt;60,(B153/B$2)*100&gt;40),"Medium cap stocks",(B153/B$2)*100&lt;40,"Small cap stocks")</f>
        <v>Small cap stocks</v>
      </c>
    </row>
    <row r="154">
      <c r="A154" s="4" t="s">
        <v>127</v>
      </c>
      <c r="B154" s="34">
        <v>8445.006</v>
      </c>
      <c r="C154" s="35">
        <v>853.05</v>
      </c>
      <c r="D154" s="35">
        <v>15.67</v>
      </c>
      <c r="E154" s="35">
        <v>925.0</v>
      </c>
      <c r="F154" s="36">
        <v>0.07778378378378384</v>
      </c>
      <c r="G154" s="35">
        <v>666.35</v>
      </c>
      <c r="H154" s="36">
        <v>0.2801830869663089</v>
      </c>
      <c r="I154" s="35">
        <v>862.5</v>
      </c>
      <c r="J154" s="36">
        <v>-0.010956521739130488</v>
      </c>
      <c r="K154" s="37" t="s">
        <v>329</v>
      </c>
      <c r="L154" s="37" t="s">
        <v>402</v>
      </c>
      <c r="M154" s="38" t="str">
        <f t="array" ref="M154">IF(F154&gt;30%,"YES","NO")</f>
        <v>NO</v>
      </c>
      <c r="N154" s="39" t="str">
        <f t="array" ref="N154">IF(H154&lt;30%,"YES","NO")</f>
        <v>YES</v>
      </c>
      <c r="O154" s="37" t="str">
        <f t="shared" si="23"/>
        <v/>
      </c>
      <c r="P154" s="40" t="str">
        <f t="shared" si="24"/>
        <v>Small cap stocks</v>
      </c>
    </row>
    <row r="155">
      <c r="A155" s="4" t="s">
        <v>116</v>
      </c>
      <c r="B155" s="41">
        <v>8341.1378051</v>
      </c>
      <c r="C155" s="43">
        <v>2358.0</v>
      </c>
      <c r="D155" s="43">
        <v>25.47</v>
      </c>
      <c r="E155" s="43">
        <v>3447.55</v>
      </c>
      <c r="F155" s="44">
        <v>0.31603602558338534</v>
      </c>
      <c r="G155" s="43">
        <v>2310.1</v>
      </c>
      <c r="H155" s="44">
        <v>0.020735033115449587</v>
      </c>
      <c r="I155" s="43">
        <v>2340.5</v>
      </c>
      <c r="J155" s="44">
        <v>0.007477034821619312</v>
      </c>
      <c r="K155" s="45" t="s">
        <v>265</v>
      </c>
      <c r="L155" s="45" t="s">
        <v>403</v>
      </c>
      <c r="M155" s="38" t="str">
        <f t="array" ref="M155">IF(F155&gt;30%,"YES","NO")</f>
        <v>YES</v>
      </c>
      <c r="N155" s="39" t="str">
        <f t="array" ref="N155">IF(H155&lt;30%,"YES","NO")</f>
        <v>YES</v>
      </c>
      <c r="O155" s="45" t="str">
        <f t="shared" si="23"/>
        <v/>
      </c>
      <c r="P155" s="40" t="str">
        <f t="shared" si="24"/>
        <v>Small cap stocks</v>
      </c>
    </row>
    <row r="156">
      <c r="A156" s="4" t="s">
        <v>118</v>
      </c>
      <c r="B156" s="34">
        <v>8293.1763762</v>
      </c>
      <c r="C156" s="35">
        <v>2562.7</v>
      </c>
      <c r="D156" s="35">
        <v>20.06</v>
      </c>
      <c r="E156" s="35">
        <v>3841.85</v>
      </c>
      <c r="F156" s="36">
        <v>0.3329515728099744</v>
      </c>
      <c r="G156" s="35">
        <v>2530.0</v>
      </c>
      <c r="H156" s="36">
        <v>0.01292490118577068</v>
      </c>
      <c r="I156" s="35">
        <v>2557.4</v>
      </c>
      <c r="J156" s="36">
        <v>0.0020724172988190064</v>
      </c>
      <c r="K156" s="37" t="s">
        <v>265</v>
      </c>
      <c r="L156" s="37" t="s">
        <v>404</v>
      </c>
      <c r="M156" s="38" t="str">
        <f t="array" ref="M156">IF(F156&gt;30%,"YES","NO")</f>
        <v>YES</v>
      </c>
      <c r="N156" s="39" t="str">
        <f t="array" ref="N156">IF(H156&lt;30%,"YES","NO")</f>
        <v>YES</v>
      </c>
      <c r="O156" s="37" t="str">
        <f t="shared" si="23"/>
        <v/>
      </c>
      <c r="P156" s="40" t="str">
        <f t="shared" si="24"/>
        <v>Small cap stocks</v>
      </c>
    </row>
    <row r="157" hidden="1">
      <c r="A157" s="4" t="s">
        <v>166</v>
      </c>
      <c r="B157" s="41">
        <v>1794.6404408</v>
      </c>
      <c r="C157" s="43">
        <v>411.45</v>
      </c>
      <c r="D157" s="46" t="s">
        <v>15</v>
      </c>
      <c r="E157" s="43">
        <v>528.35</v>
      </c>
      <c r="F157" s="44">
        <v>0.22125485000473177</v>
      </c>
      <c r="G157" s="43">
        <v>366.05</v>
      </c>
      <c r="H157" s="44">
        <v>0.1240267722988662</v>
      </c>
      <c r="I157" s="43">
        <v>412.2</v>
      </c>
      <c r="J157" s="44">
        <v>-0.001819505094614265</v>
      </c>
      <c r="K157" s="45" t="s">
        <v>252</v>
      </c>
      <c r="L157" s="45" t="s">
        <v>485</v>
      </c>
      <c r="M157" s="45"/>
      <c r="N157" s="45"/>
      <c r="O157" s="45"/>
      <c r="P157" s="45"/>
    </row>
    <row r="158">
      <c r="A158" s="4" t="s">
        <v>132</v>
      </c>
      <c r="B158" s="34">
        <v>8104.163</v>
      </c>
      <c r="C158" s="35">
        <v>582.0</v>
      </c>
      <c r="D158" s="35">
        <v>19.25</v>
      </c>
      <c r="E158" s="35">
        <v>694.5</v>
      </c>
      <c r="F158" s="36">
        <v>0.16198704103671707</v>
      </c>
      <c r="G158" s="35">
        <v>457.58</v>
      </c>
      <c r="H158" s="36">
        <v>0.2719087372699856</v>
      </c>
      <c r="I158" s="35">
        <v>574.4</v>
      </c>
      <c r="J158" s="36">
        <v>0.013231197771587783</v>
      </c>
      <c r="K158" s="37" t="s">
        <v>317</v>
      </c>
      <c r="L158" s="37" t="s">
        <v>405</v>
      </c>
      <c r="M158" s="38" t="str">
        <f t="array" ref="M158">IF(F158&gt;30%,"YES","NO")</f>
        <v>NO</v>
      </c>
      <c r="N158" s="39" t="str">
        <f t="array" ref="N158">IF(H158&lt;30%,"YES","NO")</f>
        <v>YES</v>
      </c>
      <c r="O158" s="37" t="str">
        <f t="shared" ref="O158:O159" si="25">if(AND(D158&lt;65,M158="NO",N158="NO"),"GOOD STOCK","")</f>
        <v/>
      </c>
      <c r="P158" s="40" t="str">
        <f t="shared" ref="P158:P159" si="26">ifs((B158/B$2)*100&gt;=60,"Large cap stocks",and((B158/B$2)*100&lt;60,(B158/B$2)*100&gt;40),"Medium cap stocks",(B158/B$2)*100&lt;40,"Small cap stocks")</f>
        <v>Small cap stocks</v>
      </c>
    </row>
    <row r="159">
      <c r="A159" s="4" t="s">
        <v>137</v>
      </c>
      <c r="B159" s="41">
        <v>7705.431</v>
      </c>
      <c r="C159" s="43">
        <v>318.6</v>
      </c>
      <c r="D159" s="43">
        <v>16.36</v>
      </c>
      <c r="E159" s="43">
        <v>381.25</v>
      </c>
      <c r="F159" s="44">
        <v>0.16432786885245895</v>
      </c>
      <c r="G159" s="43">
        <v>227.0</v>
      </c>
      <c r="H159" s="44">
        <v>0.40352422907489</v>
      </c>
      <c r="I159" s="43">
        <v>318.15</v>
      </c>
      <c r="J159" s="44">
        <v>0.0014144271570015574</v>
      </c>
      <c r="K159" s="45" t="s">
        <v>254</v>
      </c>
      <c r="L159" s="45" t="s">
        <v>406</v>
      </c>
      <c r="M159" s="38" t="str">
        <f t="array" ref="M159">IF(F159&gt;30%,"YES","NO")</f>
        <v>NO</v>
      </c>
      <c r="N159" s="39" t="str">
        <f t="array" ref="N159">IF(H159&lt;30%,"YES","NO")</f>
        <v>NO</v>
      </c>
      <c r="O159" s="45" t="str">
        <f t="shared" si="25"/>
        <v>GOOD STOCK</v>
      </c>
      <c r="P159" s="40" t="str">
        <f t="shared" si="26"/>
        <v>Small cap stocks</v>
      </c>
    </row>
    <row r="160" hidden="1">
      <c r="A160" s="4" t="s">
        <v>169</v>
      </c>
      <c r="B160" s="34">
        <v>1482.073362</v>
      </c>
      <c r="C160" s="35">
        <v>638.25</v>
      </c>
      <c r="D160" s="49" t="s">
        <v>15</v>
      </c>
      <c r="E160" s="35">
        <v>649.7</v>
      </c>
      <c r="F160" s="36">
        <v>0.01762351854702177</v>
      </c>
      <c r="G160" s="35">
        <v>634.15</v>
      </c>
      <c r="H160" s="36">
        <v>0.006465347315303987</v>
      </c>
      <c r="I160" s="35">
        <v>636.85</v>
      </c>
      <c r="J160" s="36">
        <v>0.002198319855538945</v>
      </c>
      <c r="K160" s="37" t="s">
        <v>304</v>
      </c>
      <c r="L160" s="37" t="s">
        <v>486</v>
      </c>
      <c r="M160" s="37"/>
      <c r="N160" s="37"/>
      <c r="O160" s="37"/>
      <c r="P160" s="37"/>
    </row>
    <row r="161">
      <c r="A161" s="4" t="s">
        <v>125</v>
      </c>
      <c r="B161" s="41">
        <v>7672.4308321</v>
      </c>
      <c r="C161" s="43">
        <v>289.4</v>
      </c>
      <c r="D161" s="43">
        <v>36.41</v>
      </c>
      <c r="E161" s="43">
        <v>501.6</v>
      </c>
      <c r="F161" s="44">
        <v>0.4230462519936205</v>
      </c>
      <c r="G161" s="43">
        <v>274.35</v>
      </c>
      <c r="H161" s="44">
        <v>0.05485693457262604</v>
      </c>
      <c r="I161" s="43">
        <v>289.25</v>
      </c>
      <c r="J161" s="44">
        <v>5.185825410543726E-4</v>
      </c>
      <c r="K161" s="45" t="s">
        <v>265</v>
      </c>
      <c r="L161" s="45" t="s">
        <v>407</v>
      </c>
      <c r="M161" s="38" t="str">
        <f t="array" ref="M161">IF(F161&gt;30%,"YES","NO")</f>
        <v>YES</v>
      </c>
      <c r="N161" s="39" t="str">
        <f t="array" ref="N161">IF(H161&lt;30%,"YES","NO")</f>
        <v>YES</v>
      </c>
      <c r="O161" s="45" t="str">
        <f>if(AND(D161&lt;65,M161="NO",N161="NO"),"GOOD STOCK","")</f>
        <v/>
      </c>
      <c r="P161" s="40" t="str">
        <f>ifs((B161/B$2)*100&gt;=60,"Large cap stocks",and((B161/B$2)*100&lt;60,(B161/B$2)*100&gt;40),"Medium cap stocks",(B161/B$2)*100&lt;40,"Small cap stocks")</f>
        <v>Small cap stocks</v>
      </c>
    </row>
    <row r="162" hidden="1">
      <c r="A162" s="4" t="s">
        <v>171</v>
      </c>
      <c r="B162" s="34">
        <v>404.8024737</v>
      </c>
      <c r="C162" s="35">
        <v>404.35</v>
      </c>
      <c r="D162" s="49" t="s">
        <v>15</v>
      </c>
      <c r="E162" s="35">
        <v>1936.0</v>
      </c>
      <c r="F162" s="36">
        <v>0.7911415289256198</v>
      </c>
      <c r="G162" s="35">
        <v>401.0</v>
      </c>
      <c r="H162" s="36">
        <v>0.008354114713217014</v>
      </c>
      <c r="I162" s="35">
        <v>408.5</v>
      </c>
      <c r="J162" s="36">
        <v>-0.010159118727050128</v>
      </c>
      <c r="K162" s="37" t="s">
        <v>254</v>
      </c>
      <c r="L162" s="37" t="s">
        <v>487</v>
      </c>
      <c r="M162" s="37"/>
      <c r="N162" s="37"/>
      <c r="O162" s="37"/>
      <c r="P162" s="37"/>
    </row>
    <row r="163">
      <c r="A163" s="4" t="s">
        <v>182</v>
      </c>
      <c r="B163" s="41">
        <v>7658.1331612</v>
      </c>
      <c r="C163" s="43">
        <v>1503.5</v>
      </c>
      <c r="D163" s="43">
        <v>27.61</v>
      </c>
      <c r="E163" s="43">
        <v>1953.7</v>
      </c>
      <c r="F163" s="44">
        <v>0.23043456006551674</v>
      </c>
      <c r="G163" s="43">
        <v>1355.5</v>
      </c>
      <c r="H163" s="44">
        <v>0.10918480265584656</v>
      </c>
      <c r="I163" s="43">
        <v>1480.55</v>
      </c>
      <c r="J163" s="44">
        <v>0.015500996251393095</v>
      </c>
      <c r="K163" s="45" t="s">
        <v>233</v>
      </c>
      <c r="L163" s="45" t="s">
        <v>408</v>
      </c>
      <c r="M163" s="38" t="str">
        <f t="array" ref="M163">IF(F163&gt;30%,"YES","NO")</f>
        <v>NO</v>
      </c>
      <c r="N163" s="39" t="str">
        <f t="array" ref="N163">IF(H163&lt;30%,"YES","NO")</f>
        <v>YES</v>
      </c>
      <c r="O163" s="45" t="str">
        <f t="shared" ref="O163:O175" si="27">if(AND(D163&lt;65,M163="NO",N163="NO"),"GOOD STOCK","")</f>
        <v/>
      </c>
      <c r="P163" s="40" t="str">
        <f t="shared" ref="P163:P175" si="28">ifs((B163/B$2)*100&gt;=60,"Large cap stocks",and((B163/B$2)*100&lt;60,(B163/B$2)*100&gt;40),"Medium cap stocks",(B163/B$2)*100&lt;40,"Small cap stocks")</f>
        <v>Small cap stocks</v>
      </c>
    </row>
    <row r="164">
      <c r="A164" s="4" t="s">
        <v>134</v>
      </c>
      <c r="B164" s="34">
        <v>7452.986336</v>
      </c>
      <c r="C164" s="35">
        <v>367.25</v>
      </c>
      <c r="D164" s="35">
        <v>49.25</v>
      </c>
      <c r="E164" s="35">
        <v>617.4</v>
      </c>
      <c r="F164" s="36">
        <v>0.4051668286362164</v>
      </c>
      <c r="G164" s="35">
        <v>305.25</v>
      </c>
      <c r="H164" s="36">
        <v>0.2031122031122031</v>
      </c>
      <c r="I164" s="35">
        <v>368.4</v>
      </c>
      <c r="J164" s="36">
        <v>-0.003121606948968451</v>
      </c>
      <c r="K164" s="37" t="s">
        <v>233</v>
      </c>
      <c r="L164" s="37" t="s">
        <v>409</v>
      </c>
      <c r="M164" s="38" t="str">
        <f t="array" ref="M164">IF(F164&gt;30%,"YES","NO")</f>
        <v>YES</v>
      </c>
      <c r="N164" s="39" t="str">
        <f t="array" ref="N164">IF(H164&lt;30%,"YES","NO")</f>
        <v>YES</v>
      </c>
      <c r="O164" s="37" t="str">
        <f t="shared" si="27"/>
        <v/>
      </c>
      <c r="P164" s="40" t="str">
        <f t="shared" si="28"/>
        <v>Small cap stocks</v>
      </c>
    </row>
    <row r="165">
      <c r="A165" s="4" t="s">
        <v>136</v>
      </c>
      <c r="B165" s="41">
        <v>7451.4657292</v>
      </c>
      <c r="C165" s="43">
        <v>873.25</v>
      </c>
      <c r="D165" s="43">
        <v>20.88</v>
      </c>
      <c r="E165" s="43">
        <v>958.0</v>
      </c>
      <c r="F165" s="44">
        <v>0.08846555323590814</v>
      </c>
      <c r="G165" s="43">
        <v>642.0</v>
      </c>
      <c r="H165" s="44">
        <v>0.36020249221183803</v>
      </c>
      <c r="I165" s="43">
        <v>861.2</v>
      </c>
      <c r="J165" s="44">
        <v>0.013992104040873147</v>
      </c>
      <c r="K165" s="45" t="s">
        <v>237</v>
      </c>
      <c r="L165" s="45" t="s">
        <v>410</v>
      </c>
      <c r="M165" s="38" t="str">
        <f t="array" ref="M165">IF(F165&gt;30%,"YES","NO")</f>
        <v>NO</v>
      </c>
      <c r="N165" s="39" t="str">
        <f t="array" ref="N165">IF(H165&lt;30%,"YES","NO")</f>
        <v>NO</v>
      </c>
      <c r="O165" s="45" t="str">
        <f t="shared" si="27"/>
        <v>GOOD STOCK</v>
      </c>
      <c r="P165" s="40" t="str">
        <f t="shared" si="28"/>
        <v>Small cap stocks</v>
      </c>
    </row>
    <row r="166">
      <c r="A166" s="4" t="s">
        <v>124</v>
      </c>
      <c r="B166" s="34">
        <v>7415.8287656</v>
      </c>
      <c r="C166" s="35">
        <v>1190.8</v>
      </c>
      <c r="D166" s="35">
        <v>32.12</v>
      </c>
      <c r="E166" s="35">
        <v>1919.0</v>
      </c>
      <c r="F166" s="36">
        <v>0.37946847316310583</v>
      </c>
      <c r="G166" s="35">
        <v>1052.6</v>
      </c>
      <c r="H166" s="36">
        <v>0.1312939388181646</v>
      </c>
      <c r="I166" s="35">
        <v>1197.6</v>
      </c>
      <c r="J166" s="36">
        <v>-0.005678022712090811</v>
      </c>
      <c r="K166" s="37" t="s">
        <v>298</v>
      </c>
      <c r="L166" s="37" t="s">
        <v>411</v>
      </c>
      <c r="M166" s="38" t="str">
        <f t="array" ref="M166">IF(F166&gt;30%,"YES","NO")</f>
        <v>YES</v>
      </c>
      <c r="N166" s="39" t="str">
        <f t="array" ref="N166">IF(H166&lt;30%,"YES","NO")</f>
        <v>YES</v>
      </c>
      <c r="O166" s="37" t="str">
        <f t="shared" si="27"/>
        <v/>
      </c>
      <c r="P166" s="40" t="str">
        <f t="shared" si="28"/>
        <v>Small cap stocks</v>
      </c>
    </row>
    <row r="167">
      <c r="A167" s="4" t="s">
        <v>147</v>
      </c>
      <c r="B167" s="41">
        <v>7324.341471</v>
      </c>
      <c r="C167" s="43">
        <v>3465.1</v>
      </c>
      <c r="D167" s="43">
        <v>35.75</v>
      </c>
      <c r="E167" s="43">
        <v>3709.95</v>
      </c>
      <c r="F167" s="44">
        <v>0.06599819404574184</v>
      </c>
      <c r="G167" s="43">
        <v>1845.0</v>
      </c>
      <c r="H167" s="44">
        <v>0.8781029810298102</v>
      </c>
      <c r="I167" s="43">
        <v>3461.8</v>
      </c>
      <c r="J167" s="44">
        <v>9.532613091454524E-4</v>
      </c>
      <c r="K167" s="45" t="s">
        <v>342</v>
      </c>
      <c r="L167" s="45" t="s">
        <v>412</v>
      </c>
      <c r="M167" s="38" t="str">
        <f t="array" ref="M167">IF(F167&gt;30%,"YES","NO")</f>
        <v>NO</v>
      </c>
      <c r="N167" s="39" t="str">
        <f t="array" ref="N167">IF(H167&lt;30%,"YES","NO")</f>
        <v>NO</v>
      </c>
      <c r="O167" s="45" t="str">
        <f t="shared" si="27"/>
        <v>GOOD STOCK</v>
      </c>
      <c r="P167" s="40" t="str">
        <f t="shared" si="28"/>
        <v>Small cap stocks</v>
      </c>
    </row>
    <row r="168">
      <c r="A168" s="4" t="s">
        <v>221</v>
      </c>
      <c r="B168" s="34">
        <v>7063.23</v>
      </c>
      <c r="C168" s="35">
        <v>1380.05</v>
      </c>
      <c r="D168" s="35">
        <v>45.85</v>
      </c>
      <c r="E168" s="35">
        <v>3142.0</v>
      </c>
      <c r="F168" s="36">
        <v>0.5607733927434755</v>
      </c>
      <c r="G168" s="35">
        <v>1267.05</v>
      </c>
      <c r="H168" s="36">
        <v>0.08918353656130382</v>
      </c>
      <c r="I168" s="35">
        <v>1382.35</v>
      </c>
      <c r="J168" s="36">
        <v>-0.0016638333273049188</v>
      </c>
      <c r="K168" s="37" t="s">
        <v>369</v>
      </c>
      <c r="L168" s="37" t="s">
        <v>413</v>
      </c>
      <c r="M168" s="38" t="str">
        <f t="array" ref="M168">IF(F168&gt;30%,"YES","NO")</f>
        <v>YES</v>
      </c>
      <c r="N168" s="39" t="str">
        <f t="array" ref="N168">IF(H168&lt;30%,"YES","NO")</f>
        <v>YES</v>
      </c>
      <c r="O168" s="37" t="str">
        <f t="shared" si="27"/>
        <v/>
      </c>
      <c r="P168" s="40" t="str">
        <f t="shared" si="28"/>
        <v>Small cap stocks</v>
      </c>
    </row>
    <row r="169">
      <c r="A169" s="4" t="s">
        <v>142</v>
      </c>
      <c r="B169" s="41">
        <v>7046.8192293</v>
      </c>
      <c r="C169" s="43">
        <v>1567.45</v>
      </c>
      <c r="D169" s="43">
        <v>53.87</v>
      </c>
      <c r="E169" s="43">
        <v>2110.0</v>
      </c>
      <c r="F169" s="44">
        <v>0.25713270142180095</v>
      </c>
      <c r="G169" s="43">
        <v>1256.67</v>
      </c>
      <c r="H169" s="44">
        <v>0.24730438380800046</v>
      </c>
      <c r="I169" s="43">
        <v>1576.95</v>
      </c>
      <c r="J169" s="44">
        <v>-0.006024287390215289</v>
      </c>
      <c r="K169" s="45" t="s">
        <v>355</v>
      </c>
      <c r="L169" s="45" t="s">
        <v>414</v>
      </c>
      <c r="M169" s="38" t="str">
        <f t="array" ref="M169">IF(F169&gt;30%,"YES","NO")</f>
        <v>NO</v>
      </c>
      <c r="N169" s="39" t="str">
        <f t="array" ref="N169">IF(H169&lt;30%,"YES","NO")</f>
        <v>YES</v>
      </c>
      <c r="O169" s="45" t="str">
        <f t="shared" si="27"/>
        <v/>
      </c>
      <c r="P169" s="40" t="str">
        <f t="shared" si="28"/>
        <v>Small cap stocks</v>
      </c>
    </row>
    <row r="170">
      <c r="A170" s="4" t="s">
        <v>138</v>
      </c>
      <c r="B170" s="34">
        <v>6985.583</v>
      </c>
      <c r="C170" s="35">
        <v>1795.0</v>
      </c>
      <c r="D170" s="35">
        <v>49.5</v>
      </c>
      <c r="E170" s="35">
        <v>2249.0</v>
      </c>
      <c r="F170" s="36">
        <v>0.20186749666518453</v>
      </c>
      <c r="G170" s="35">
        <v>1444.5</v>
      </c>
      <c r="H170" s="36">
        <v>0.24264451367255105</v>
      </c>
      <c r="I170" s="35">
        <v>1807.4</v>
      </c>
      <c r="J170" s="36">
        <v>-0.006860683855261752</v>
      </c>
      <c r="K170" s="37" t="s">
        <v>415</v>
      </c>
      <c r="L170" s="37" t="s">
        <v>416</v>
      </c>
      <c r="M170" s="38" t="str">
        <f t="array" ref="M170">IF(F170&gt;30%,"YES","NO")</f>
        <v>NO</v>
      </c>
      <c r="N170" s="39" t="str">
        <f t="array" ref="N170">IF(H170&lt;30%,"YES","NO")</f>
        <v>YES</v>
      </c>
      <c r="O170" s="37" t="str">
        <f t="shared" si="27"/>
        <v/>
      </c>
      <c r="P170" s="40" t="str">
        <f t="shared" si="28"/>
        <v>Small cap stocks</v>
      </c>
    </row>
    <row r="171">
      <c r="A171" s="4" t="s">
        <v>146</v>
      </c>
      <c r="B171" s="41">
        <v>6919.97</v>
      </c>
      <c r="C171" s="43">
        <v>5294.0</v>
      </c>
      <c r="D171" s="43">
        <v>37.0</v>
      </c>
      <c r="E171" s="43">
        <v>6067.95</v>
      </c>
      <c r="F171" s="44">
        <v>0.1275471946868382</v>
      </c>
      <c r="G171" s="43">
        <v>3518.6</v>
      </c>
      <c r="H171" s="44">
        <v>0.5045756835104872</v>
      </c>
      <c r="I171" s="43">
        <v>5320.0</v>
      </c>
      <c r="J171" s="44">
        <v>-0.004887218045112782</v>
      </c>
      <c r="K171" s="45" t="s">
        <v>417</v>
      </c>
      <c r="L171" s="45" t="s">
        <v>418</v>
      </c>
      <c r="M171" s="38" t="str">
        <f t="array" ref="M171">IF(F171&gt;30%,"YES","NO")</f>
        <v>NO</v>
      </c>
      <c r="N171" s="39" t="str">
        <f t="array" ref="N171">IF(H171&lt;30%,"YES","NO")</f>
        <v>NO</v>
      </c>
      <c r="O171" s="45" t="str">
        <f t="shared" si="27"/>
        <v>GOOD STOCK</v>
      </c>
      <c r="P171" s="40" t="str">
        <f t="shared" si="28"/>
        <v>Small cap stocks</v>
      </c>
    </row>
    <row r="172">
      <c r="A172" s="4" t="s">
        <v>208</v>
      </c>
      <c r="B172" s="34">
        <v>6524.233845</v>
      </c>
      <c r="C172" s="35">
        <v>590.7</v>
      </c>
      <c r="D172" s="35">
        <v>44.19</v>
      </c>
      <c r="E172" s="35">
        <v>748.0</v>
      </c>
      <c r="F172" s="36">
        <v>0.21029411764705877</v>
      </c>
      <c r="G172" s="35">
        <v>513.1</v>
      </c>
      <c r="H172" s="36">
        <v>0.1512375755213409</v>
      </c>
      <c r="I172" s="35">
        <v>575.3</v>
      </c>
      <c r="J172" s="36">
        <v>0.0267686424474189</v>
      </c>
      <c r="K172" s="37" t="s">
        <v>312</v>
      </c>
      <c r="L172" s="37" t="s">
        <v>419</v>
      </c>
      <c r="M172" s="38" t="str">
        <f t="array" ref="M172">IF(F172&gt;30%,"YES","NO")</f>
        <v>NO</v>
      </c>
      <c r="N172" s="39" t="str">
        <f t="array" ref="N172">IF(H172&lt;30%,"YES","NO")</f>
        <v>YES</v>
      </c>
      <c r="O172" s="37" t="str">
        <f t="shared" si="27"/>
        <v/>
      </c>
      <c r="P172" s="40" t="str">
        <f t="shared" si="28"/>
        <v>Small cap stocks</v>
      </c>
    </row>
    <row r="173">
      <c r="A173" s="4" t="s">
        <v>135</v>
      </c>
      <c r="B173" s="41">
        <v>6488.72245</v>
      </c>
      <c r="C173" s="43">
        <v>353.0</v>
      </c>
      <c r="D173" s="43">
        <v>35.19</v>
      </c>
      <c r="E173" s="43">
        <v>461.5</v>
      </c>
      <c r="F173" s="44">
        <v>0.23510292524377033</v>
      </c>
      <c r="G173" s="43">
        <v>289.05</v>
      </c>
      <c r="H173" s="44">
        <v>0.22124199965403904</v>
      </c>
      <c r="I173" s="43">
        <v>355.1</v>
      </c>
      <c r="J173" s="44">
        <v>-0.005913827090960356</v>
      </c>
      <c r="K173" s="45" t="s">
        <v>355</v>
      </c>
      <c r="L173" s="45" t="s">
        <v>420</v>
      </c>
      <c r="M173" s="38" t="str">
        <f t="array" ref="M173">IF(F173&gt;30%,"YES","NO")</f>
        <v>NO</v>
      </c>
      <c r="N173" s="39" t="str">
        <f t="array" ref="N173">IF(H173&lt;30%,"YES","NO")</f>
        <v>YES</v>
      </c>
      <c r="O173" s="45" t="str">
        <f t="shared" si="27"/>
        <v/>
      </c>
      <c r="P173" s="40" t="str">
        <f t="shared" si="28"/>
        <v>Small cap stocks</v>
      </c>
    </row>
    <row r="174">
      <c r="A174" s="4" t="s">
        <v>152</v>
      </c>
      <c r="B174" s="34">
        <v>6367.8328518</v>
      </c>
      <c r="C174" s="35">
        <v>1227.1</v>
      </c>
      <c r="D174" s="35">
        <v>59.65</v>
      </c>
      <c r="E174" s="35">
        <v>1480.0</v>
      </c>
      <c r="F174" s="36">
        <v>0.17087837837837844</v>
      </c>
      <c r="G174" s="35">
        <v>575.0</v>
      </c>
      <c r="H174" s="36">
        <v>1.134086956521739</v>
      </c>
      <c r="I174" s="35">
        <v>1161.25</v>
      </c>
      <c r="J174" s="36">
        <v>0.05670613562970929</v>
      </c>
      <c r="K174" s="37" t="s">
        <v>298</v>
      </c>
      <c r="L174" s="37" t="s">
        <v>421</v>
      </c>
      <c r="M174" s="38" t="str">
        <f t="array" ref="M174">IF(F174&gt;30%,"YES","NO")</f>
        <v>NO</v>
      </c>
      <c r="N174" s="39" t="str">
        <f t="array" ref="N174">IF(H174&lt;30%,"YES","NO")</f>
        <v>NO</v>
      </c>
      <c r="O174" s="37" t="str">
        <f t="shared" si="27"/>
        <v>GOOD STOCK</v>
      </c>
      <c r="P174" s="40" t="str">
        <f t="shared" si="28"/>
        <v>Small cap stocks</v>
      </c>
    </row>
    <row r="175">
      <c r="A175" s="4" t="s">
        <v>129</v>
      </c>
      <c r="B175" s="41">
        <v>6297.527</v>
      </c>
      <c r="C175" s="43">
        <v>1870.0</v>
      </c>
      <c r="D175" s="43">
        <v>49.07</v>
      </c>
      <c r="E175" s="43">
        <v>4023.65</v>
      </c>
      <c r="F175" s="44">
        <v>0.5352478471039976</v>
      </c>
      <c r="G175" s="43">
        <v>1844.15</v>
      </c>
      <c r="H175" s="44">
        <v>0.014017297942141316</v>
      </c>
      <c r="I175" s="43">
        <v>1876.0</v>
      </c>
      <c r="J175" s="44">
        <v>-0.0031982942430703624</v>
      </c>
      <c r="K175" s="45" t="s">
        <v>355</v>
      </c>
      <c r="L175" s="45" t="s">
        <v>422</v>
      </c>
      <c r="M175" s="38" t="str">
        <f t="array" ref="M175">IF(F175&gt;30%,"YES","NO")</f>
        <v>YES</v>
      </c>
      <c r="N175" s="39" t="str">
        <f t="array" ref="N175">IF(H175&lt;30%,"YES","NO")</f>
        <v>YES</v>
      </c>
      <c r="O175" s="45" t="str">
        <f t="shared" si="27"/>
        <v/>
      </c>
      <c r="P175" s="40" t="str">
        <f t="shared" si="28"/>
        <v>Small cap stocks</v>
      </c>
    </row>
    <row r="176" hidden="1">
      <c r="A176" s="4" t="s">
        <v>185</v>
      </c>
      <c r="B176" s="34">
        <v>1191.350885</v>
      </c>
      <c r="C176" s="35">
        <v>446.8</v>
      </c>
      <c r="D176" s="49" t="s">
        <v>15</v>
      </c>
      <c r="E176" s="35">
        <v>455.95</v>
      </c>
      <c r="F176" s="36">
        <v>0.020067989911174422</v>
      </c>
      <c r="G176" s="35">
        <v>444.0</v>
      </c>
      <c r="H176" s="36">
        <v>0.006306306306306332</v>
      </c>
      <c r="I176" s="35">
        <v>447.4</v>
      </c>
      <c r="J176" s="36">
        <v>-0.0013410818059900892</v>
      </c>
      <c r="K176" s="37" t="s">
        <v>355</v>
      </c>
      <c r="L176" s="37" t="s">
        <v>488</v>
      </c>
      <c r="M176" s="37"/>
      <c r="N176" s="37"/>
      <c r="O176" s="37"/>
      <c r="P176" s="37"/>
    </row>
    <row r="177">
      <c r="A177" s="4" t="s">
        <v>141</v>
      </c>
      <c r="B177" s="41">
        <v>6152.5851506</v>
      </c>
      <c r="C177" s="43">
        <v>3024.95</v>
      </c>
      <c r="D177" s="43">
        <v>37.14</v>
      </c>
      <c r="E177" s="43">
        <v>3754.85</v>
      </c>
      <c r="F177" s="44">
        <v>0.19438859075595566</v>
      </c>
      <c r="G177" s="43">
        <v>2619.8</v>
      </c>
      <c r="H177" s="44">
        <v>0.1546492098633482</v>
      </c>
      <c r="I177" s="43">
        <v>3026.7</v>
      </c>
      <c r="J177" s="44">
        <v>-5.781874648957611E-4</v>
      </c>
      <c r="K177" s="45" t="s">
        <v>304</v>
      </c>
      <c r="L177" s="45" t="s">
        <v>423</v>
      </c>
      <c r="M177" s="38" t="str">
        <f t="array" ref="M177">IF(F177&gt;30%,"YES","NO")</f>
        <v>NO</v>
      </c>
      <c r="N177" s="39" t="str">
        <f t="array" ref="N177">IF(H177&lt;30%,"YES","NO")</f>
        <v>YES</v>
      </c>
      <c r="O177" s="45" t="str">
        <f t="shared" ref="O177:O185" si="29">if(AND(D177&lt;65,M177="NO",N177="NO"),"GOOD STOCK","")</f>
        <v/>
      </c>
      <c r="P177" s="40" t="str">
        <f t="shared" ref="P177:P185" si="30">ifs((B177/B$2)*100&gt;=60,"Large cap stocks",and((B177/B$2)*100&lt;60,(B177/B$2)*100&gt;40),"Medium cap stocks",(B177/B$2)*100&lt;40,"Small cap stocks")</f>
        <v>Small cap stocks</v>
      </c>
    </row>
    <row r="178">
      <c r="A178" s="4" t="s">
        <v>203</v>
      </c>
      <c r="B178" s="34">
        <v>5752.7067025</v>
      </c>
      <c r="C178" s="35">
        <v>1071.5</v>
      </c>
      <c r="D178" s="35">
        <v>65.24</v>
      </c>
      <c r="E178" s="35">
        <v>1918.35</v>
      </c>
      <c r="F178" s="36">
        <v>0.4414470769150572</v>
      </c>
      <c r="G178" s="35">
        <v>1023.2</v>
      </c>
      <c r="H178" s="36">
        <v>0.04720484753713834</v>
      </c>
      <c r="I178" s="35">
        <v>1069.9</v>
      </c>
      <c r="J178" s="36">
        <v>0.0014954668660621636</v>
      </c>
      <c r="K178" s="37" t="s">
        <v>298</v>
      </c>
      <c r="L178" s="37" t="s">
        <v>424</v>
      </c>
      <c r="M178" s="38" t="str">
        <f t="array" ref="M178">IF(F178&gt;30%,"YES","NO")</f>
        <v>YES</v>
      </c>
      <c r="N178" s="39" t="str">
        <f t="array" ref="N178">IF(H178&lt;30%,"YES","NO")</f>
        <v>YES</v>
      </c>
      <c r="O178" s="37" t="str">
        <f t="shared" si="29"/>
        <v/>
      </c>
      <c r="P178" s="40" t="str">
        <f t="shared" si="30"/>
        <v>Small cap stocks</v>
      </c>
    </row>
    <row r="179">
      <c r="A179" s="4" t="s">
        <v>121</v>
      </c>
      <c r="B179" s="41">
        <v>5686.243</v>
      </c>
      <c r="C179" s="43">
        <v>499.35</v>
      </c>
      <c r="D179" s="43">
        <v>39.43</v>
      </c>
      <c r="E179" s="43">
        <v>833.0</v>
      </c>
      <c r="F179" s="44">
        <v>0.40054021608643453</v>
      </c>
      <c r="G179" s="43">
        <v>468.0</v>
      </c>
      <c r="H179" s="44">
        <v>0.06698717948717954</v>
      </c>
      <c r="I179" s="43">
        <v>494.9</v>
      </c>
      <c r="J179" s="44">
        <v>0.008991715498080513</v>
      </c>
      <c r="K179" s="45" t="s">
        <v>355</v>
      </c>
      <c r="L179" s="45" t="s">
        <v>425</v>
      </c>
      <c r="M179" s="38" t="str">
        <f t="array" ref="M179">IF(F179&gt;30%,"YES","NO")</f>
        <v>YES</v>
      </c>
      <c r="N179" s="39" t="str">
        <f t="array" ref="N179">IF(H179&lt;30%,"YES","NO")</f>
        <v>YES</v>
      </c>
      <c r="O179" s="45" t="str">
        <f t="shared" si="29"/>
        <v/>
      </c>
      <c r="P179" s="40" t="str">
        <f t="shared" si="30"/>
        <v>Small cap stocks</v>
      </c>
    </row>
    <row r="180">
      <c r="A180" s="4" t="s">
        <v>144</v>
      </c>
      <c r="B180" s="34">
        <v>5679.5794914</v>
      </c>
      <c r="C180" s="35">
        <v>267.2</v>
      </c>
      <c r="D180" s="35">
        <v>53.9</v>
      </c>
      <c r="E180" s="35">
        <v>372.2</v>
      </c>
      <c r="F180" s="36">
        <v>0.2821063944116067</v>
      </c>
      <c r="G180" s="35">
        <v>244.0</v>
      </c>
      <c r="H180" s="36">
        <v>0.09508196721311471</v>
      </c>
      <c r="I180" s="35">
        <v>268.4</v>
      </c>
      <c r="J180" s="36">
        <v>-0.004470938897168364</v>
      </c>
      <c r="K180" s="37" t="s">
        <v>282</v>
      </c>
      <c r="L180" s="37" t="s">
        <v>426</v>
      </c>
      <c r="M180" s="38" t="str">
        <f t="array" ref="M180">IF(F180&gt;30%,"YES","NO")</f>
        <v>NO</v>
      </c>
      <c r="N180" s="39" t="str">
        <f t="array" ref="N180">IF(H180&lt;30%,"YES","NO")</f>
        <v>YES</v>
      </c>
      <c r="O180" s="37" t="str">
        <f t="shared" si="29"/>
        <v/>
      </c>
      <c r="P180" s="40" t="str">
        <f t="shared" si="30"/>
        <v>Small cap stocks</v>
      </c>
    </row>
    <row r="181">
      <c r="A181" s="4" t="s">
        <v>184</v>
      </c>
      <c r="B181" s="41">
        <v>5515.515</v>
      </c>
      <c r="C181" s="43">
        <v>241.5</v>
      </c>
      <c r="D181" s="43">
        <v>12.67</v>
      </c>
      <c r="E181" s="43">
        <v>393.85</v>
      </c>
      <c r="F181" s="44">
        <v>0.38682239431255555</v>
      </c>
      <c r="G181" s="43">
        <v>169.25</v>
      </c>
      <c r="H181" s="44">
        <v>0.42688330871491875</v>
      </c>
      <c r="I181" s="43">
        <v>236.7</v>
      </c>
      <c r="J181" s="44">
        <v>0.020278833967046942</v>
      </c>
      <c r="K181" s="45"/>
      <c r="L181" s="45" t="s">
        <v>427</v>
      </c>
      <c r="M181" s="38" t="str">
        <f t="array" ref="M181">IF(F181&gt;30%,"YES","NO")</f>
        <v>YES</v>
      </c>
      <c r="N181" s="39" t="str">
        <f t="array" ref="N181">IF(H181&lt;30%,"YES","NO")</f>
        <v>NO</v>
      </c>
      <c r="O181" s="45" t="str">
        <f t="shared" si="29"/>
        <v/>
      </c>
      <c r="P181" s="40" t="str">
        <f t="shared" si="30"/>
        <v>Small cap stocks</v>
      </c>
    </row>
    <row r="182">
      <c r="A182" s="4" t="s">
        <v>145</v>
      </c>
      <c r="B182" s="34">
        <v>5305.4035808</v>
      </c>
      <c r="C182" s="35">
        <v>389.4</v>
      </c>
      <c r="D182" s="35">
        <v>21.44</v>
      </c>
      <c r="E182" s="35">
        <v>638.8</v>
      </c>
      <c r="F182" s="36">
        <v>0.39041953663118345</v>
      </c>
      <c r="G182" s="35">
        <v>364.1</v>
      </c>
      <c r="H182" s="36">
        <v>0.06948640483383672</v>
      </c>
      <c r="I182" s="35">
        <v>388.7</v>
      </c>
      <c r="J182" s="36">
        <v>0.001800874710573678</v>
      </c>
      <c r="K182" s="37" t="s">
        <v>280</v>
      </c>
      <c r="L182" s="37" t="s">
        <v>428</v>
      </c>
      <c r="M182" s="38" t="str">
        <f t="array" ref="M182">IF(F182&gt;30%,"YES","NO")</f>
        <v>YES</v>
      </c>
      <c r="N182" s="39" t="str">
        <f t="array" ref="N182">IF(H182&lt;30%,"YES","NO")</f>
        <v>YES</v>
      </c>
      <c r="O182" s="37" t="str">
        <f t="shared" si="29"/>
        <v/>
      </c>
      <c r="P182" s="40" t="str">
        <f t="shared" si="30"/>
        <v>Small cap stocks</v>
      </c>
    </row>
    <row r="183">
      <c r="A183" s="4" t="s">
        <v>200</v>
      </c>
      <c r="B183" s="41">
        <v>5182.98923</v>
      </c>
      <c r="C183" s="43">
        <v>1688.15</v>
      </c>
      <c r="D183" s="43">
        <v>70.16</v>
      </c>
      <c r="E183" s="43">
        <v>2409.15</v>
      </c>
      <c r="F183" s="44">
        <v>0.2992756781437436</v>
      </c>
      <c r="G183" s="43">
        <v>1211.85</v>
      </c>
      <c r="H183" s="44">
        <v>0.3930354416800761</v>
      </c>
      <c r="I183" s="43">
        <v>1670.5</v>
      </c>
      <c r="J183" s="44">
        <v>0.010565698892547196</v>
      </c>
      <c r="K183" s="45" t="s">
        <v>315</v>
      </c>
      <c r="L183" s="45" t="s">
        <v>429</v>
      </c>
      <c r="M183" s="38" t="str">
        <f t="array" ref="M183">IF(F183&gt;30%,"YES","NO")</f>
        <v>NO</v>
      </c>
      <c r="N183" s="39" t="str">
        <f t="array" ref="N183">IF(H183&lt;30%,"YES","NO")</f>
        <v>NO</v>
      </c>
      <c r="O183" s="45" t="str">
        <f t="shared" si="29"/>
        <v/>
      </c>
      <c r="P183" s="40" t="str">
        <f t="shared" si="30"/>
        <v>Small cap stocks</v>
      </c>
    </row>
    <row r="184">
      <c r="A184" s="4" t="s">
        <v>140</v>
      </c>
      <c r="B184" s="34">
        <v>5153.9576635</v>
      </c>
      <c r="C184" s="35">
        <v>1714.7</v>
      </c>
      <c r="D184" s="35">
        <v>17.12</v>
      </c>
      <c r="E184" s="35">
        <v>3410.85</v>
      </c>
      <c r="F184" s="36">
        <v>0.49728073647331306</v>
      </c>
      <c r="G184" s="35">
        <v>1492.0</v>
      </c>
      <c r="H184" s="36">
        <v>0.14926273458445044</v>
      </c>
      <c r="I184" s="35">
        <v>1693.7</v>
      </c>
      <c r="J184" s="36">
        <v>0.012398890004132962</v>
      </c>
      <c r="K184" s="37" t="s">
        <v>233</v>
      </c>
      <c r="L184" s="37" t="s">
        <v>430</v>
      </c>
      <c r="M184" s="38" t="str">
        <f t="array" ref="M184">IF(F184&gt;30%,"YES","NO")</f>
        <v>YES</v>
      </c>
      <c r="N184" s="39" t="str">
        <f t="array" ref="N184">IF(H184&lt;30%,"YES","NO")</f>
        <v>YES</v>
      </c>
      <c r="O184" s="37" t="str">
        <f t="shared" si="29"/>
        <v/>
      </c>
      <c r="P184" s="40" t="str">
        <f t="shared" si="30"/>
        <v>Small cap stocks</v>
      </c>
    </row>
    <row r="185">
      <c r="A185" s="4" t="s">
        <v>201</v>
      </c>
      <c r="B185" s="41">
        <v>4927.69342</v>
      </c>
      <c r="C185" s="43">
        <v>299.0</v>
      </c>
      <c r="D185" s="43">
        <v>35.85</v>
      </c>
      <c r="E185" s="43">
        <v>566.5</v>
      </c>
      <c r="F185" s="44">
        <v>0.47219770520741394</v>
      </c>
      <c r="G185" s="43">
        <v>288.0</v>
      </c>
      <c r="H185" s="44">
        <v>0.03819444444444445</v>
      </c>
      <c r="I185" s="43">
        <v>297.35</v>
      </c>
      <c r="J185" s="44">
        <v>0.0055490163107448365</v>
      </c>
      <c r="K185" s="45" t="s">
        <v>257</v>
      </c>
      <c r="L185" s="45" t="s">
        <v>431</v>
      </c>
      <c r="M185" s="38" t="str">
        <f t="array" ref="M185">IF(F185&gt;30%,"YES","NO")</f>
        <v>YES</v>
      </c>
      <c r="N185" s="39" t="str">
        <f t="array" ref="N185">IF(H185&lt;30%,"YES","NO")</f>
        <v>YES</v>
      </c>
      <c r="O185" s="45" t="str">
        <f t="shared" si="29"/>
        <v/>
      </c>
      <c r="P185" s="40" t="str">
        <f t="shared" si="30"/>
        <v>Small cap stocks</v>
      </c>
    </row>
    <row r="186" hidden="1">
      <c r="A186" s="4" t="s">
        <v>195</v>
      </c>
      <c r="B186" s="34">
        <v>6945.4358366</v>
      </c>
      <c r="C186" s="35">
        <v>439.9</v>
      </c>
      <c r="D186" s="49" t="s">
        <v>15</v>
      </c>
      <c r="E186" s="35">
        <v>684.55</v>
      </c>
      <c r="F186" s="36">
        <v>0.3573880651522898</v>
      </c>
      <c r="G186" s="35">
        <v>357.7</v>
      </c>
      <c r="H186" s="36">
        <v>0.22980150964495386</v>
      </c>
      <c r="I186" s="35">
        <v>425.8</v>
      </c>
      <c r="J186" s="36">
        <v>0.03311413809300133</v>
      </c>
      <c r="K186" s="37"/>
      <c r="L186" s="37" t="s">
        <v>489</v>
      </c>
      <c r="M186" s="37"/>
      <c r="N186" s="37"/>
      <c r="O186" s="37"/>
      <c r="P186" s="37"/>
    </row>
    <row r="187">
      <c r="A187" s="4" t="s">
        <v>131</v>
      </c>
      <c r="B187" s="41">
        <v>4868.970546</v>
      </c>
      <c r="C187" s="43">
        <v>1555.0</v>
      </c>
      <c r="D187" s="43">
        <v>7.36</v>
      </c>
      <c r="E187" s="43">
        <v>2870.0</v>
      </c>
      <c r="F187" s="44">
        <v>0.45818815331010454</v>
      </c>
      <c r="G187" s="43">
        <v>1463.3</v>
      </c>
      <c r="H187" s="44">
        <v>0.062666575548418</v>
      </c>
      <c r="I187" s="43">
        <v>1559.1</v>
      </c>
      <c r="J187" s="44">
        <v>-0.0026297222756718037</v>
      </c>
      <c r="K187" s="45" t="s">
        <v>432</v>
      </c>
      <c r="L187" s="45" t="s">
        <v>433</v>
      </c>
      <c r="M187" s="38" t="str">
        <f t="array" ref="M187">IF(F187&gt;30%,"YES","NO")</f>
        <v>YES</v>
      </c>
      <c r="N187" s="39" t="str">
        <f t="array" ref="N187">IF(H187&lt;30%,"YES","NO")</f>
        <v>YES</v>
      </c>
      <c r="O187" s="45" t="str">
        <f t="shared" ref="O187:O195" si="31">if(AND(D187&lt;65,M187="NO",N187="NO"),"GOOD STOCK","")</f>
        <v/>
      </c>
      <c r="P187" s="40" t="str">
        <f t="shared" ref="P187:P195" si="32">ifs((B187/B$2)*100&gt;=60,"Large cap stocks",and((B187/B$2)*100&lt;60,(B187/B$2)*100&gt;40),"Medium cap stocks",(B187/B$2)*100&lt;40,"Small cap stocks")</f>
        <v>Small cap stocks</v>
      </c>
    </row>
    <row r="188">
      <c r="A188" s="4" t="s">
        <v>139</v>
      </c>
      <c r="B188" s="34">
        <v>4785.1628071</v>
      </c>
      <c r="C188" s="35">
        <v>211.35</v>
      </c>
      <c r="D188" s="35">
        <v>13.73</v>
      </c>
      <c r="E188" s="35">
        <v>496.1</v>
      </c>
      <c r="F188" s="36">
        <v>0.5739770207619431</v>
      </c>
      <c r="G188" s="35">
        <v>202.0</v>
      </c>
      <c r="H188" s="36">
        <v>0.04628712871287126</v>
      </c>
      <c r="I188" s="35">
        <v>212.4</v>
      </c>
      <c r="J188" s="36">
        <v>-0.00494350282485881</v>
      </c>
      <c r="K188" s="37" t="e">
        <v>#N/A</v>
      </c>
      <c r="L188" s="37" t="e">
        <v>#N/A</v>
      </c>
      <c r="M188" s="38" t="str">
        <f t="array" ref="M188">IF(F188&gt;30%,"YES","NO")</f>
        <v>YES</v>
      </c>
      <c r="N188" s="39" t="str">
        <f t="array" ref="N188">IF(H188&lt;30%,"YES","NO")</f>
        <v>YES</v>
      </c>
      <c r="O188" s="37" t="str">
        <f t="shared" si="31"/>
        <v/>
      </c>
      <c r="P188" s="40" t="str">
        <f t="shared" si="32"/>
        <v>Small cap stocks</v>
      </c>
    </row>
    <row r="189">
      <c r="A189" s="4" t="s">
        <v>225</v>
      </c>
      <c r="B189" s="41">
        <v>4564.43</v>
      </c>
      <c r="C189" s="43">
        <v>1524.7</v>
      </c>
      <c r="D189" s="43">
        <v>17.12</v>
      </c>
      <c r="E189" s="43">
        <v>3925.0</v>
      </c>
      <c r="F189" s="44">
        <v>0.6115414012738853</v>
      </c>
      <c r="G189" s="43">
        <v>1515.1</v>
      </c>
      <c r="H189" s="44">
        <v>0.0063362154313247555</v>
      </c>
      <c r="I189" s="43">
        <v>1526.65</v>
      </c>
      <c r="J189" s="44">
        <v>-0.0012773065208135756</v>
      </c>
      <c r="K189" s="45" t="s">
        <v>304</v>
      </c>
      <c r="L189" s="45" t="s">
        <v>434</v>
      </c>
      <c r="M189" s="38" t="str">
        <f t="array" ref="M189">IF(F189&gt;30%,"YES","NO")</f>
        <v>YES</v>
      </c>
      <c r="N189" s="39" t="str">
        <f t="array" ref="N189">IF(H189&lt;30%,"YES","NO")</f>
        <v>YES</v>
      </c>
      <c r="O189" s="45" t="str">
        <f t="shared" si="31"/>
        <v/>
      </c>
      <c r="P189" s="40" t="str">
        <f t="shared" si="32"/>
        <v>Small cap stocks</v>
      </c>
    </row>
    <row r="190">
      <c r="A190" s="4" t="s">
        <v>149</v>
      </c>
      <c r="B190" s="34">
        <v>4230.867</v>
      </c>
      <c r="C190" s="35">
        <v>186.9</v>
      </c>
      <c r="D190" s="35">
        <v>23.18</v>
      </c>
      <c r="E190" s="35">
        <v>242.0</v>
      </c>
      <c r="F190" s="36">
        <v>0.22768595041322312</v>
      </c>
      <c r="G190" s="35">
        <v>164.0</v>
      </c>
      <c r="H190" s="36">
        <v>0.13963414634146346</v>
      </c>
      <c r="I190" s="35">
        <v>186.85</v>
      </c>
      <c r="J190" s="36">
        <v>2.6759432700032847E-4</v>
      </c>
      <c r="K190" s="37" t="s">
        <v>259</v>
      </c>
      <c r="L190" s="37" t="s">
        <v>435</v>
      </c>
      <c r="M190" s="38" t="str">
        <f t="array" ref="M190">IF(F190&gt;30%,"YES","NO")</f>
        <v>NO</v>
      </c>
      <c r="N190" s="39" t="str">
        <f t="array" ref="N190">IF(H190&lt;30%,"YES","NO")</f>
        <v>YES</v>
      </c>
      <c r="O190" s="37" t="str">
        <f t="shared" si="31"/>
        <v/>
      </c>
      <c r="P190" s="40" t="str">
        <f t="shared" si="32"/>
        <v>Small cap stocks</v>
      </c>
    </row>
    <row r="191">
      <c r="A191" s="4" t="s">
        <v>151</v>
      </c>
      <c r="B191" s="41">
        <v>4148.48</v>
      </c>
      <c r="C191" s="43">
        <v>448.0</v>
      </c>
      <c r="D191" s="43">
        <v>22.17</v>
      </c>
      <c r="E191" s="43">
        <v>537.4</v>
      </c>
      <c r="F191" s="44">
        <v>0.16635653144771118</v>
      </c>
      <c r="G191" s="43">
        <v>378.4</v>
      </c>
      <c r="H191" s="44">
        <v>0.18393234672304448</v>
      </c>
      <c r="I191" s="43">
        <v>445.5</v>
      </c>
      <c r="J191" s="44">
        <v>0.005611672278338945</v>
      </c>
      <c r="K191" s="45" t="s">
        <v>254</v>
      </c>
      <c r="L191" s="45" t="s">
        <v>436</v>
      </c>
      <c r="M191" s="38" t="str">
        <f t="array" ref="M191">IF(F191&gt;30%,"YES","NO")</f>
        <v>NO</v>
      </c>
      <c r="N191" s="39" t="str">
        <f t="array" ref="N191">IF(H191&lt;30%,"YES","NO")</f>
        <v>YES</v>
      </c>
      <c r="O191" s="45" t="str">
        <f t="shared" si="31"/>
        <v/>
      </c>
      <c r="P191" s="40" t="str">
        <f t="shared" si="32"/>
        <v>Small cap stocks</v>
      </c>
    </row>
    <row r="192">
      <c r="A192" s="4" t="s">
        <v>192</v>
      </c>
      <c r="B192" s="34">
        <v>3951.357</v>
      </c>
      <c r="C192" s="35">
        <v>717.0</v>
      </c>
      <c r="D192" s="35">
        <v>39.87</v>
      </c>
      <c r="E192" s="35">
        <v>1375.0</v>
      </c>
      <c r="F192" s="36">
        <v>0.47854545454545455</v>
      </c>
      <c r="G192" s="35">
        <v>675.0</v>
      </c>
      <c r="H192" s="36">
        <v>0.06222222222222222</v>
      </c>
      <c r="I192" s="35">
        <v>726.2</v>
      </c>
      <c r="J192" s="36">
        <v>-0.012668686312310721</v>
      </c>
      <c r="K192" s="37" t="s">
        <v>265</v>
      </c>
      <c r="L192" s="37" t="s">
        <v>437</v>
      </c>
      <c r="M192" s="38" t="str">
        <f t="array" ref="M192">IF(F192&gt;30%,"YES","NO")</f>
        <v>YES</v>
      </c>
      <c r="N192" s="39" t="str">
        <f t="array" ref="N192">IF(H192&lt;30%,"YES","NO")</f>
        <v>YES</v>
      </c>
      <c r="O192" s="37" t="str">
        <f t="shared" si="31"/>
        <v/>
      </c>
      <c r="P192" s="40" t="str">
        <f t="shared" si="32"/>
        <v>Small cap stocks</v>
      </c>
    </row>
    <row r="193">
      <c r="A193" s="4" t="s">
        <v>148</v>
      </c>
      <c r="B193" s="41">
        <v>3941.666</v>
      </c>
      <c r="C193" s="43">
        <v>9517.9</v>
      </c>
      <c r="D193" s="43">
        <v>23.12</v>
      </c>
      <c r="E193" s="43">
        <v>14362.9</v>
      </c>
      <c r="F193" s="44">
        <v>0.3373274199500101</v>
      </c>
      <c r="G193" s="43">
        <v>9301.0</v>
      </c>
      <c r="H193" s="44">
        <v>0.023320073110418196</v>
      </c>
      <c r="I193" s="43">
        <v>9497.7</v>
      </c>
      <c r="J193" s="44">
        <v>0.00212683070638143</v>
      </c>
      <c r="K193" s="45" t="s">
        <v>292</v>
      </c>
      <c r="L193" s="45" t="s">
        <v>438</v>
      </c>
      <c r="M193" s="38" t="str">
        <f t="array" ref="M193">IF(F193&gt;30%,"YES","NO")</f>
        <v>YES</v>
      </c>
      <c r="N193" s="39" t="str">
        <f t="array" ref="N193">IF(H193&lt;30%,"YES","NO")</f>
        <v>YES</v>
      </c>
      <c r="O193" s="45" t="str">
        <f t="shared" si="31"/>
        <v/>
      </c>
      <c r="P193" s="40" t="str">
        <f t="shared" si="32"/>
        <v>Small cap stocks</v>
      </c>
    </row>
    <row r="194">
      <c r="A194" s="4" t="s">
        <v>155</v>
      </c>
      <c r="B194" s="34">
        <v>3345.7206687</v>
      </c>
      <c r="C194" s="35">
        <v>717.5</v>
      </c>
      <c r="D194" s="35">
        <v>15.26</v>
      </c>
      <c r="E194" s="35">
        <v>815.0</v>
      </c>
      <c r="F194" s="36">
        <v>0.1196319018404908</v>
      </c>
      <c r="G194" s="35">
        <v>630.65</v>
      </c>
      <c r="H194" s="36">
        <v>0.13771505589471184</v>
      </c>
      <c r="I194" s="35">
        <v>724.95</v>
      </c>
      <c r="J194" s="36">
        <v>-0.01027657079798613</v>
      </c>
      <c r="K194" s="37" t="s">
        <v>292</v>
      </c>
      <c r="L194" s="37" t="s">
        <v>439</v>
      </c>
      <c r="M194" s="38" t="str">
        <f t="array" ref="M194">IF(F194&gt;30%,"YES","NO")</f>
        <v>NO</v>
      </c>
      <c r="N194" s="39" t="str">
        <f t="array" ref="N194">IF(H194&lt;30%,"YES","NO")</f>
        <v>YES</v>
      </c>
      <c r="O194" s="37" t="str">
        <f t="shared" si="31"/>
        <v/>
      </c>
      <c r="P194" s="40" t="str">
        <f t="shared" si="32"/>
        <v>Small cap stocks</v>
      </c>
    </row>
    <row r="195">
      <c r="A195" s="4" t="s">
        <v>165</v>
      </c>
      <c r="B195" s="41">
        <v>3335.191069</v>
      </c>
      <c r="C195" s="43">
        <v>462.25</v>
      </c>
      <c r="D195" s="43">
        <v>33.36</v>
      </c>
      <c r="E195" s="43">
        <v>480.4</v>
      </c>
      <c r="F195" s="44">
        <v>0.03778101582014983</v>
      </c>
      <c r="G195" s="43">
        <v>258.95</v>
      </c>
      <c r="H195" s="44">
        <v>0.7850936474222824</v>
      </c>
      <c r="I195" s="43">
        <v>473.2</v>
      </c>
      <c r="J195" s="44">
        <v>-0.02314032121724427</v>
      </c>
      <c r="K195" s="45" t="s">
        <v>440</v>
      </c>
      <c r="L195" s="45" t="s">
        <v>441</v>
      </c>
      <c r="M195" s="38" t="str">
        <f t="array" ref="M195">IF(F195&gt;30%,"YES","NO")</f>
        <v>NO</v>
      </c>
      <c r="N195" s="39" t="str">
        <f t="array" ref="N195">IF(H195&lt;30%,"YES","NO")</f>
        <v>NO</v>
      </c>
      <c r="O195" s="45" t="str">
        <f t="shared" si="31"/>
        <v>GOOD STOCK</v>
      </c>
      <c r="P195" s="40" t="str">
        <f t="shared" si="32"/>
        <v>Small cap stocks</v>
      </c>
    </row>
    <row r="196" hidden="1">
      <c r="A196" s="4" t="s">
        <v>205</v>
      </c>
      <c r="B196" s="51" t="s">
        <v>15</v>
      </c>
      <c r="C196" s="49" t="s">
        <v>15</v>
      </c>
      <c r="D196" s="49" t="s">
        <v>15</v>
      </c>
      <c r="E196" s="49" t="s">
        <v>15</v>
      </c>
      <c r="F196" s="52" t="s">
        <v>15</v>
      </c>
      <c r="G196" s="49" t="s">
        <v>15</v>
      </c>
      <c r="H196" s="52" t="s">
        <v>15</v>
      </c>
      <c r="I196" s="49" t="s">
        <v>15</v>
      </c>
      <c r="J196" s="52" t="s">
        <v>15</v>
      </c>
      <c r="K196" s="53" t="s">
        <v>254</v>
      </c>
      <c r="L196" s="53" t="s">
        <v>490</v>
      </c>
      <c r="M196" s="53"/>
      <c r="N196" s="53"/>
      <c r="O196" s="53"/>
      <c r="P196" s="53"/>
    </row>
    <row r="197">
      <c r="A197" s="4" t="s">
        <v>150</v>
      </c>
      <c r="B197" s="41">
        <v>3279.733</v>
      </c>
      <c r="C197" s="43">
        <v>1669.3</v>
      </c>
      <c r="D197" s="43">
        <v>33.56</v>
      </c>
      <c r="E197" s="43">
        <v>2285.65</v>
      </c>
      <c r="F197" s="44">
        <v>0.2696607092074465</v>
      </c>
      <c r="G197" s="43">
        <v>1276.15</v>
      </c>
      <c r="H197" s="44">
        <v>0.30807506954511604</v>
      </c>
      <c r="I197" s="43">
        <v>1635.25</v>
      </c>
      <c r="J197" s="44">
        <v>0.020822504204250088</v>
      </c>
      <c r="K197" s="45" t="s">
        <v>254</v>
      </c>
      <c r="L197" s="45" t="s">
        <v>442</v>
      </c>
      <c r="M197" s="38" t="str">
        <f t="array" ref="M197">IF(F197&gt;30%,"YES","NO")</f>
        <v>NO</v>
      </c>
      <c r="N197" s="39" t="str">
        <f t="array" ref="N197">IF(H197&lt;30%,"YES","NO")</f>
        <v>NO</v>
      </c>
      <c r="O197" s="45" t="str">
        <f t="shared" ref="O197:O203" si="33">if(AND(D197&lt;65,M197="NO",N197="NO"),"GOOD STOCK","")</f>
        <v>GOOD STOCK</v>
      </c>
      <c r="P197" s="40" t="str">
        <f t="shared" ref="P197:P203" si="34">ifs((B197/B$2)*100&gt;=60,"Large cap stocks",and((B197/B$2)*100&lt;60,(B197/B$2)*100&gt;40),"Medium cap stocks",(B197/B$2)*100&lt;40,"Small cap stocks")</f>
        <v>Small cap stocks</v>
      </c>
    </row>
    <row r="198">
      <c r="A198" s="4" t="s">
        <v>160</v>
      </c>
      <c r="B198" s="34">
        <v>3279.606</v>
      </c>
      <c r="C198" s="35">
        <v>988.1</v>
      </c>
      <c r="D198" s="35">
        <v>41.73</v>
      </c>
      <c r="E198" s="35">
        <v>1057.85</v>
      </c>
      <c r="F198" s="36">
        <v>0.06593562414330945</v>
      </c>
      <c r="G198" s="35">
        <v>648.05</v>
      </c>
      <c r="H198" s="36">
        <v>0.52472803024458</v>
      </c>
      <c r="I198" s="35">
        <v>991.35</v>
      </c>
      <c r="J198" s="36">
        <v>-0.0032783577949261106</v>
      </c>
      <c r="K198" s="37"/>
      <c r="L198" s="37" t="s">
        <v>443</v>
      </c>
      <c r="M198" s="38" t="str">
        <f t="array" ref="M198">IF(F198&gt;30%,"YES","NO")</f>
        <v>NO</v>
      </c>
      <c r="N198" s="39" t="str">
        <f t="array" ref="N198">IF(H198&lt;30%,"YES","NO")</f>
        <v>NO</v>
      </c>
      <c r="O198" s="37" t="str">
        <f t="shared" si="33"/>
        <v>GOOD STOCK</v>
      </c>
      <c r="P198" s="40" t="str">
        <f t="shared" si="34"/>
        <v>Small cap stocks</v>
      </c>
    </row>
    <row r="199">
      <c r="A199" s="4" t="s">
        <v>199</v>
      </c>
      <c r="B199" s="41">
        <v>3273.157</v>
      </c>
      <c r="C199" s="43">
        <v>6195.0</v>
      </c>
      <c r="D199" s="43">
        <v>34.69</v>
      </c>
      <c r="E199" s="43">
        <v>6572.75</v>
      </c>
      <c r="F199" s="44">
        <v>0.057472138754706935</v>
      </c>
      <c r="G199" s="43">
        <v>4932.05</v>
      </c>
      <c r="H199" s="44">
        <v>0.256069991180138</v>
      </c>
      <c r="I199" s="43">
        <v>6169.85</v>
      </c>
      <c r="J199" s="44">
        <v>0.004076274139565733</v>
      </c>
      <c r="K199" s="45" t="s">
        <v>282</v>
      </c>
      <c r="L199" s="45" t="s">
        <v>444</v>
      </c>
      <c r="M199" s="38" t="str">
        <f t="array" ref="M199">IF(F199&gt;30%,"YES","NO")</f>
        <v>NO</v>
      </c>
      <c r="N199" s="39" t="str">
        <f t="array" ref="N199">IF(H199&lt;30%,"YES","NO")</f>
        <v>YES</v>
      </c>
      <c r="O199" s="45" t="str">
        <f t="shared" si="33"/>
        <v/>
      </c>
      <c r="P199" s="40" t="str">
        <f t="shared" si="34"/>
        <v>Small cap stocks</v>
      </c>
    </row>
    <row r="200">
      <c r="A200" s="4" t="s">
        <v>154</v>
      </c>
      <c r="B200" s="34">
        <v>3099.3320457</v>
      </c>
      <c r="C200" s="35">
        <v>1242.8</v>
      </c>
      <c r="D200" s="35">
        <v>68.51</v>
      </c>
      <c r="E200" s="35">
        <v>1842.2</v>
      </c>
      <c r="F200" s="36">
        <v>0.32537183801975905</v>
      </c>
      <c r="G200" s="35">
        <v>1201.25</v>
      </c>
      <c r="H200" s="36">
        <v>0.0345889698231009</v>
      </c>
      <c r="I200" s="35">
        <v>1229.5</v>
      </c>
      <c r="J200" s="36">
        <v>0.010817405449369625</v>
      </c>
      <c r="K200" s="37" t="s">
        <v>265</v>
      </c>
      <c r="L200" s="37" t="s">
        <v>445</v>
      </c>
      <c r="M200" s="38" t="str">
        <f t="array" ref="M200">IF(F200&gt;30%,"YES","NO")</f>
        <v>YES</v>
      </c>
      <c r="N200" s="39" t="str">
        <f t="array" ref="N200">IF(H200&lt;30%,"YES","NO")</f>
        <v>YES</v>
      </c>
      <c r="O200" s="37" t="str">
        <f t="shared" si="33"/>
        <v/>
      </c>
      <c r="P200" s="40" t="str">
        <f t="shared" si="34"/>
        <v>Small cap stocks</v>
      </c>
    </row>
    <row r="201">
      <c r="A201" s="4" t="s">
        <v>156</v>
      </c>
      <c r="B201" s="41">
        <v>3094.098595</v>
      </c>
      <c r="C201" s="43">
        <v>276.7</v>
      </c>
      <c r="D201" s="43">
        <v>32.26</v>
      </c>
      <c r="E201" s="43">
        <v>354.9</v>
      </c>
      <c r="F201" s="44">
        <v>0.22034375880529725</v>
      </c>
      <c r="G201" s="43">
        <v>258.4</v>
      </c>
      <c r="H201" s="44">
        <v>0.07082043343653256</v>
      </c>
      <c r="I201" s="43">
        <v>278.9</v>
      </c>
      <c r="J201" s="44">
        <v>-0.007888131946934345</v>
      </c>
      <c r="K201" s="45" t="s">
        <v>265</v>
      </c>
      <c r="L201" s="45" t="s">
        <v>446</v>
      </c>
      <c r="M201" s="38" t="str">
        <f t="array" ref="M201">IF(F201&gt;30%,"YES","NO")</f>
        <v>NO</v>
      </c>
      <c r="N201" s="39" t="str">
        <f t="array" ref="N201">IF(H201&lt;30%,"YES","NO")</f>
        <v>YES</v>
      </c>
      <c r="O201" s="45" t="str">
        <f t="shared" si="33"/>
        <v/>
      </c>
      <c r="P201" s="40" t="str">
        <f t="shared" si="34"/>
        <v>Small cap stocks</v>
      </c>
    </row>
    <row r="202">
      <c r="A202" s="4" t="s">
        <v>153</v>
      </c>
      <c r="B202" s="34">
        <v>3024.4291291</v>
      </c>
      <c r="C202" s="35">
        <v>571.8</v>
      </c>
      <c r="D202" s="35">
        <v>35.81</v>
      </c>
      <c r="E202" s="35">
        <v>1087.0</v>
      </c>
      <c r="F202" s="36">
        <v>0.4739650413983441</v>
      </c>
      <c r="G202" s="35">
        <v>562.1</v>
      </c>
      <c r="H202" s="36">
        <v>0.01725671588685275</v>
      </c>
      <c r="I202" s="35">
        <v>574.7</v>
      </c>
      <c r="J202" s="36">
        <v>-0.005046111014442476</v>
      </c>
      <c r="K202" s="37" t="s">
        <v>369</v>
      </c>
      <c r="L202" s="37" t="s">
        <v>447</v>
      </c>
      <c r="M202" s="38" t="str">
        <f t="array" ref="M202">IF(F202&gt;30%,"YES","NO")</f>
        <v>YES</v>
      </c>
      <c r="N202" s="39" t="str">
        <f t="array" ref="N202">IF(H202&lt;30%,"YES","NO")</f>
        <v>YES</v>
      </c>
      <c r="O202" s="37" t="str">
        <f t="shared" si="33"/>
        <v/>
      </c>
      <c r="P202" s="40" t="str">
        <f t="shared" si="34"/>
        <v>Small cap stocks</v>
      </c>
    </row>
    <row r="203">
      <c r="A203" s="4" t="s">
        <v>158</v>
      </c>
      <c r="B203" s="41">
        <v>2664.205</v>
      </c>
      <c r="C203" s="43">
        <v>382.15</v>
      </c>
      <c r="D203" s="43">
        <v>17.49</v>
      </c>
      <c r="E203" s="43">
        <v>671.0</v>
      </c>
      <c r="F203" s="44">
        <v>0.43047690014903134</v>
      </c>
      <c r="G203" s="43">
        <v>320.85</v>
      </c>
      <c r="H203" s="44">
        <v>0.19105501012934378</v>
      </c>
      <c r="I203" s="43">
        <v>362.3</v>
      </c>
      <c r="J203" s="44">
        <v>0.05478884902014895</v>
      </c>
      <c r="K203" s="45" t="s">
        <v>233</v>
      </c>
      <c r="L203" s="45" t="s">
        <v>448</v>
      </c>
      <c r="M203" s="38" t="str">
        <f t="array" ref="M203">IF(F203&gt;30%,"YES","NO")</f>
        <v>YES</v>
      </c>
      <c r="N203" s="39" t="str">
        <f t="array" ref="N203">IF(H203&lt;30%,"YES","NO")</f>
        <v>YES</v>
      </c>
      <c r="O203" s="45" t="str">
        <f t="shared" si="33"/>
        <v/>
      </c>
      <c r="P203" s="40" t="str">
        <f t="shared" si="34"/>
        <v>Small cap stocks</v>
      </c>
    </row>
    <row r="204" hidden="1">
      <c r="A204" s="4" t="s">
        <v>213</v>
      </c>
      <c r="B204" s="34">
        <v>6502.435</v>
      </c>
      <c r="C204" s="35">
        <v>578.05</v>
      </c>
      <c r="D204" s="35">
        <v>114.36</v>
      </c>
      <c r="E204" s="35">
        <v>749.15</v>
      </c>
      <c r="F204" s="36">
        <v>0.22839217780150842</v>
      </c>
      <c r="G204" s="35">
        <v>328.73</v>
      </c>
      <c r="H204" s="36">
        <v>0.7584339731694701</v>
      </c>
      <c r="I204" s="35">
        <v>580.0</v>
      </c>
      <c r="J204" s="36">
        <v>-0.00336206896551732</v>
      </c>
      <c r="K204" s="37" t="s">
        <v>235</v>
      </c>
      <c r="L204" s="37" t="s">
        <v>491</v>
      </c>
      <c r="M204" s="37"/>
      <c r="N204" s="37"/>
      <c r="O204" s="37"/>
      <c r="P204" s="37"/>
    </row>
    <row r="205">
      <c r="A205" s="4" t="s">
        <v>157</v>
      </c>
      <c r="B205" s="41">
        <v>2618.5195811</v>
      </c>
      <c r="C205" s="43">
        <v>393.65</v>
      </c>
      <c r="D205" s="43">
        <v>19.15</v>
      </c>
      <c r="E205" s="43">
        <v>666.0</v>
      </c>
      <c r="F205" s="44">
        <v>0.40893393393393396</v>
      </c>
      <c r="G205" s="43">
        <v>372.4</v>
      </c>
      <c r="H205" s="44">
        <v>0.057062298603651994</v>
      </c>
      <c r="I205" s="43">
        <v>394.45</v>
      </c>
      <c r="J205" s="44">
        <v>-0.002028140448726103</v>
      </c>
      <c r="K205" s="45" t="s">
        <v>233</v>
      </c>
      <c r="L205" s="45" t="s">
        <v>449</v>
      </c>
      <c r="M205" s="38" t="str">
        <f t="array" ref="M205">IF(F205&gt;30%,"YES","NO")</f>
        <v>YES</v>
      </c>
      <c r="N205" s="39" t="str">
        <f t="array" ref="N205">IF(H205&lt;30%,"YES","NO")</f>
        <v>YES</v>
      </c>
      <c r="O205" s="45" t="str">
        <f t="shared" ref="O205:O208" si="35">if(AND(D205&lt;65,M205="NO",N205="NO"),"GOOD STOCK","")</f>
        <v/>
      </c>
      <c r="P205" s="40" t="str">
        <f t="shared" ref="P205:P208" si="36">ifs((B205/B$2)*100&gt;=60,"Large cap stocks",and((B205/B$2)*100&lt;60,(B205/B$2)*100&gt;40),"Medium cap stocks",(B205/B$2)*100&lt;40,"Small cap stocks")</f>
        <v>Small cap stocks</v>
      </c>
    </row>
    <row r="206">
      <c r="A206" s="4" t="s">
        <v>164</v>
      </c>
      <c r="B206" s="34">
        <v>2340.128</v>
      </c>
      <c r="C206" s="35">
        <v>386.0</v>
      </c>
      <c r="D206" s="35">
        <v>13.46</v>
      </c>
      <c r="E206" s="35">
        <v>519.55</v>
      </c>
      <c r="F206" s="36">
        <v>0.2570493696468097</v>
      </c>
      <c r="G206" s="35">
        <v>301.1</v>
      </c>
      <c r="H206" s="36">
        <v>0.2819661242112254</v>
      </c>
      <c r="I206" s="35">
        <v>381.5</v>
      </c>
      <c r="J206" s="36">
        <v>0.011795543905635648</v>
      </c>
      <c r="K206" s="37"/>
      <c r="L206" s="37" t="s">
        <v>450</v>
      </c>
      <c r="M206" s="38" t="str">
        <f t="array" ref="M206">IF(F206&gt;30%,"YES","NO")</f>
        <v>NO</v>
      </c>
      <c r="N206" s="39" t="str">
        <f t="array" ref="N206">IF(H206&lt;30%,"YES","NO")</f>
        <v>YES</v>
      </c>
      <c r="O206" s="37" t="str">
        <f t="shared" si="35"/>
        <v/>
      </c>
      <c r="P206" s="40" t="str">
        <f t="shared" si="36"/>
        <v>Small cap stocks</v>
      </c>
    </row>
    <row r="207">
      <c r="A207" s="4" t="s">
        <v>163</v>
      </c>
      <c r="B207" s="41">
        <v>2250.9146116</v>
      </c>
      <c r="C207" s="43">
        <v>577.8</v>
      </c>
      <c r="D207" s="43">
        <v>67.14</v>
      </c>
      <c r="E207" s="43">
        <v>811.35</v>
      </c>
      <c r="F207" s="44">
        <v>0.28785357737104833</v>
      </c>
      <c r="G207" s="43">
        <v>524.3</v>
      </c>
      <c r="H207" s="44">
        <v>0.10204081632653061</v>
      </c>
      <c r="I207" s="43">
        <v>583.75</v>
      </c>
      <c r="J207" s="44">
        <v>-0.010192719486081449</v>
      </c>
      <c r="K207" s="45" t="s">
        <v>315</v>
      </c>
      <c r="L207" s="45" t="s">
        <v>451</v>
      </c>
      <c r="M207" s="38" t="str">
        <f t="array" ref="M207">IF(F207&gt;30%,"YES","NO")</f>
        <v>NO</v>
      </c>
      <c r="N207" s="39" t="str">
        <f t="array" ref="N207">IF(H207&lt;30%,"YES","NO")</f>
        <v>YES</v>
      </c>
      <c r="O207" s="45" t="str">
        <f t="shared" si="35"/>
        <v/>
      </c>
      <c r="P207" s="40" t="str">
        <f t="shared" si="36"/>
        <v>Small cap stocks</v>
      </c>
    </row>
    <row r="208">
      <c r="A208" s="4" t="s">
        <v>168</v>
      </c>
      <c r="B208" s="34">
        <v>1991.1000155</v>
      </c>
      <c r="C208" s="35">
        <v>510.0</v>
      </c>
      <c r="D208" s="35">
        <v>64.75</v>
      </c>
      <c r="E208" s="35">
        <v>635.7</v>
      </c>
      <c r="F208" s="36">
        <v>0.1977347805568665</v>
      </c>
      <c r="G208" s="35">
        <v>395.0</v>
      </c>
      <c r="H208" s="36">
        <v>0.2911392405063291</v>
      </c>
      <c r="I208" s="35">
        <v>514.85</v>
      </c>
      <c r="J208" s="36">
        <v>-0.009420219481402394</v>
      </c>
      <c r="K208" s="37" t="s">
        <v>312</v>
      </c>
      <c r="L208" s="37" t="s">
        <v>452</v>
      </c>
      <c r="M208" s="38" t="str">
        <f t="array" ref="M208">IF(F208&gt;30%,"YES","NO")</f>
        <v>NO</v>
      </c>
      <c r="N208" s="39" t="str">
        <f t="array" ref="N208">IF(H208&lt;30%,"YES","NO")</f>
        <v>YES</v>
      </c>
      <c r="O208" s="37" t="str">
        <f t="shared" si="35"/>
        <v/>
      </c>
      <c r="P208" s="40" t="str">
        <f t="shared" si="36"/>
        <v>Small cap stocks</v>
      </c>
    </row>
    <row r="209" hidden="1">
      <c r="A209" s="4" t="s">
        <v>218</v>
      </c>
      <c r="B209" s="41">
        <v>1528.0408125</v>
      </c>
      <c r="C209" s="43">
        <v>423.0</v>
      </c>
      <c r="D209" s="46" t="s">
        <v>15</v>
      </c>
      <c r="E209" s="43">
        <v>1156.35</v>
      </c>
      <c r="F209" s="44">
        <v>0.6341937994551822</v>
      </c>
      <c r="G209" s="43">
        <v>323.65</v>
      </c>
      <c r="H209" s="44">
        <v>0.30696740305885994</v>
      </c>
      <c r="I209" s="43">
        <v>427.8</v>
      </c>
      <c r="J209" s="44">
        <v>-0.01122019635343621</v>
      </c>
      <c r="K209" s="45" t="s">
        <v>254</v>
      </c>
      <c r="L209" s="45" t="s">
        <v>492</v>
      </c>
      <c r="M209" s="45"/>
      <c r="N209" s="45"/>
      <c r="O209" s="45"/>
      <c r="P209" s="45"/>
    </row>
    <row r="210">
      <c r="A210" s="4" t="s">
        <v>167</v>
      </c>
      <c r="B210" s="34">
        <v>1954.368</v>
      </c>
      <c r="C210" s="35">
        <v>118.6</v>
      </c>
      <c r="D210" s="35">
        <v>8.27</v>
      </c>
      <c r="E210" s="35">
        <v>182.4</v>
      </c>
      <c r="F210" s="36">
        <v>0.349780701754386</v>
      </c>
      <c r="G210" s="35">
        <v>98.0</v>
      </c>
      <c r="H210" s="36">
        <v>0.210204081632653</v>
      </c>
      <c r="I210" s="35">
        <v>120.25</v>
      </c>
      <c r="J210" s="36">
        <v>-0.013721413721413769</v>
      </c>
      <c r="K210" s="37"/>
      <c r="L210" s="37" t="s">
        <v>453</v>
      </c>
      <c r="M210" s="38" t="str">
        <f t="array" ref="M210">IF(F210&gt;30%,"YES","NO")</f>
        <v>YES</v>
      </c>
      <c r="N210" s="39" t="str">
        <f t="array" ref="N210">IF(H210&lt;30%,"YES","NO")</f>
        <v>YES</v>
      </c>
      <c r="O210" s="37" t="str">
        <f t="shared" ref="O210:O213" si="37">if(AND(D210&lt;65,M210="NO",N210="NO"),"GOOD STOCK","")</f>
        <v/>
      </c>
      <c r="P210" s="40" t="str">
        <f t="shared" ref="P210:P213" si="38">ifs((B210/B$2)*100&gt;=60,"Large cap stocks",and((B210/B$2)*100&lt;60,(B210/B$2)*100&gt;40),"Medium cap stocks",(B210/B$2)*100&lt;40,"Small cap stocks")</f>
        <v>Small cap stocks</v>
      </c>
    </row>
    <row r="211">
      <c r="A211" s="4" t="s">
        <v>162</v>
      </c>
      <c r="B211" s="41">
        <v>1923.4465903</v>
      </c>
      <c r="C211" s="43">
        <v>481.35</v>
      </c>
      <c r="D211" s="43">
        <v>10.9</v>
      </c>
      <c r="E211" s="43">
        <v>744.15</v>
      </c>
      <c r="F211" s="44">
        <v>0.3531546059262245</v>
      </c>
      <c r="G211" s="43">
        <v>477.8</v>
      </c>
      <c r="H211" s="44">
        <v>0.007429886982000861</v>
      </c>
      <c r="I211" s="43">
        <v>481.85</v>
      </c>
      <c r="J211" s="44">
        <v>-0.0010376673238559717</v>
      </c>
      <c r="K211" s="45" t="s">
        <v>292</v>
      </c>
      <c r="L211" s="45" t="s">
        <v>454</v>
      </c>
      <c r="M211" s="38" t="str">
        <f t="array" ref="M211">IF(F211&gt;30%,"YES","NO")</f>
        <v>YES</v>
      </c>
      <c r="N211" s="39" t="str">
        <f t="array" ref="N211">IF(H211&lt;30%,"YES","NO")</f>
        <v>YES</v>
      </c>
      <c r="O211" s="45" t="str">
        <f t="shared" si="37"/>
        <v/>
      </c>
      <c r="P211" s="40" t="str">
        <f t="shared" si="38"/>
        <v>Small cap stocks</v>
      </c>
    </row>
    <row r="212">
      <c r="A212" s="4" t="s">
        <v>190</v>
      </c>
      <c r="B212" s="34">
        <v>1794.8020805</v>
      </c>
      <c r="C212" s="35">
        <v>165.55</v>
      </c>
      <c r="D212" s="35">
        <v>17.83</v>
      </c>
      <c r="E212" s="35">
        <v>209.41</v>
      </c>
      <c r="F212" s="36">
        <v>0.2094455852156057</v>
      </c>
      <c r="G212" s="35">
        <v>116.75</v>
      </c>
      <c r="H212" s="36">
        <v>0.41798715203426134</v>
      </c>
      <c r="I212" s="35">
        <v>165.4</v>
      </c>
      <c r="J212" s="36">
        <v>9.068923821040247E-4</v>
      </c>
      <c r="K212" s="37" t="s">
        <v>257</v>
      </c>
      <c r="L212" s="37" t="s">
        <v>455</v>
      </c>
      <c r="M212" s="38" t="str">
        <f t="array" ref="M212">IF(F212&gt;30%,"YES","NO")</f>
        <v>NO</v>
      </c>
      <c r="N212" s="39" t="str">
        <f t="array" ref="N212">IF(H212&lt;30%,"YES","NO")</f>
        <v>NO</v>
      </c>
      <c r="O212" s="37" t="str">
        <f t="shared" si="37"/>
        <v>GOOD STOCK</v>
      </c>
      <c r="P212" s="40" t="str">
        <f t="shared" si="38"/>
        <v>Small cap stocks</v>
      </c>
    </row>
    <row r="213">
      <c r="A213" s="4" t="s">
        <v>216</v>
      </c>
      <c r="B213" s="41">
        <v>1639.276373</v>
      </c>
      <c r="C213" s="43">
        <v>498.5</v>
      </c>
      <c r="D213" s="43">
        <v>30.76</v>
      </c>
      <c r="E213" s="43">
        <v>1000.0</v>
      </c>
      <c r="F213" s="44">
        <v>0.5015</v>
      </c>
      <c r="G213" s="43">
        <v>472.2</v>
      </c>
      <c r="H213" s="44">
        <v>0.05569673867005508</v>
      </c>
      <c r="I213" s="43">
        <v>503.15</v>
      </c>
      <c r="J213" s="44">
        <v>-0.00924177680612139</v>
      </c>
      <c r="K213" s="45" t="s">
        <v>456</v>
      </c>
      <c r="L213" s="45" t="s">
        <v>457</v>
      </c>
      <c r="M213" s="38" t="str">
        <f t="array" ref="M213">IF(F213&gt;30%,"YES","NO")</f>
        <v>YES</v>
      </c>
      <c r="N213" s="39" t="str">
        <f t="array" ref="N213">IF(H213&lt;30%,"YES","NO")</f>
        <v>YES</v>
      </c>
      <c r="O213" s="45" t="str">
        <f t="shared" si="37"/>
        <v/>
      </c>
      <c r="P213" s="40" t="str">
        <f t="shared" si="38"/>
        <v>Small cap stocks</v>
      </c>
    </row>
    <row r="214" hidden="1">
      <c r="A214" s="4" t="s">
        <v>223</v>
      </c>
      <c r="B214" s="34">
        <v>1992.0121939</v>
      </c>
      <c r="C214" s="35">
        <v>36.2</v>
      </c>
      <c r="D214" s="35">
        <v>593.93</v>
      </c>
      <c r="E214" s="35">
        <v>54.5</v>
      </c>
      <c r="F214" s="36">
        <v>0.33577981651376143</v>
      </c>
      <c r="G214" s="35">
        <v>18.7</v>
      </c>
      <c r="H214" s="36">
        <v>0.9358288770053478</v>
      </c>
      <c r="I214" s="35">
        <v>36.05</v>
      </c>
      <c r="J214" s="36">
        <v>0.004160887656033445</v>
      </c>
      <c r="K214" s="37" t="s">
        <v>298</v>
      </c>
      <c r="L214" s="37" t="s">
        <v>493</v>
      </c>
      <c r="M214" s="37"/>
      <c r="N214" s="37"/>
      <c r="O214" s="37"/>
      <c r="P214" s="37"/>
    </row>
    <row r="215">
      <c r="A215" s="4" t="s">
        <v>220</v>
      </c>
      <c r="B215" s="41">
        <v>1347.5935652</v>
      </c>
      <c r="C215" s="43">
        <v>429.35</v>
      </c>
      <c r="D215" s="43">
        <v>20.29</v>
      </c>
      <c r="E215" s="43">
        <v>778.0</v>
      </c>
      <c r="F215" s="44">
        <v>0.4481362467866324</v>
      </c>
      <c r="G215" s="43">
        <v>428.9</v>
      </c>
      <c r="H215" s="44">
        <v>0.001049195616693974</v>
      </c>
      <c r="I215" s="43">
        <v>436.85</v>
      </c>
      <c r="J215" s="44">
        <v>-0.017168364427148905</v>
      </c>
      <c r="K215" s="45"/>
      <c r="L215" s="45" t="s">
        <v>458</v>
      </c>
      <c r="M215" s="38" t="str">
        <f t="array" ref="M215">IF(F215&gt;30%,"YES","NO")</f>
        <v>YES</v>
      </c>
      <c r="N215" s="39" t="str">
        <f t="array" ref="N215">IF(H215&lt;30%,"YES","NO")</f>
        <v>YES</v>
      </c>
      <c r="O215" s="45" t="str">
        <f t="shared" ref="O215:O217" si="39">if(AND(D215&lt;65,M215="NO",N215="NO"),"GOOD STOCK","")</f>
        <v/>
      </c>
      <c r="P215" s="40" t="str">
        <f t="shared" ref="P215:P217" si="40">ifs((B215/B$2)*100&gt;=60,"Large cap stocks",and((B215/B$2)*100&lt;60,(B215/B$2)*100&gt;40),"Medium cap stocks",(B215/B$2)*100&lt;40,"Small cap stocks")</f>
        <v>Small cap stocks</v>
      </c>
    </row>
    <row r="216">
      <c r="A216" s="4" t="s">
        <v>170</v>
      </c>
      <c r="B216" s="34">
        <v>1059.9071153</v>
      </c>
      <c r="C216" s="35">
        <v>288.1</v>
      </c>
      <c r="D216" s="35">
        <v>15.51</v>
      </c>
      <c r="E216" s="35">
        <v>477.95</v>
      </c>
      <c r="F216" s="36">
        <v>0.3972172821424835</v>
      </c>
      <c r="G216" s="35">
        <v>261.0</v>
      </c>
      <c r="H216" s="36">
        <v>0.10383141762452117</v>
      </c>
      <c r="I216" s="35">
        <v>290.1</v>
      </c>
      <c r="J216" s="36">
        <v>-0.006894174422612891</v>
      </c>
      <c r="K216" s="37" t="s">
        <v>265</v>
      </c>
      <c r="L216" s="37" t="s">
        <v>459</v>
      </c>
      <c r="M216" s="38" t="str">
        <f t="array" ref="M216">IF(F216&gt;30%,"YES","NO")</f>
        <v>YES</v>
      </c>
      <c r="N216" s="39" t="str">
        <f t="array" ref="N216">IF(H216&lt;30%,"YES","NO")</f>
        <v>YES</v>
      </c>
      <c r="O216" s="37" t="str">
        <f t="shared" si="39"/>
        <v/>
      </c>
      <c r="P216" s="40" t="str">
        <f t="shared" si="40"/>
        <v>Small cap stocks</v>
      </c>
    </row>
    <row r="217">
      <c r="A217" s="4" t="s">
        <v>172</v>
      </c>
      <c r="B217" s="41">
        <v>880.6892469</v>
      </c>
      <c r="C217" s="43">
        <v>4323.5</v>
      </c>
      <c r="D217" s="43">
        <v>23.13</v>
      </c>
      <c r="E217" s="43">
        <v>4759.6</v>
      </c>
      <c r="F217" s="44">
        <v>0.09162534666778728</v>
      </c>
      <c r="G217" s="43">
        <v>3654.0</v>
      </c>
      <c r="H217" s="44">
        <v>0.18322386425834702</v>
      </c>
      <c r="I217" s="43">
        <v>4310.6</v>
      </c>
      <c r="J217" s="44">
        <v>0.002992622836727981</v>
      </c>
      <c r="K217" s="45" t="s">
        <v>254</v>
      </c>
      <c r="L217" s="45" t="s">
        <v>460</v>
      </c>
      <c r="M217" s="38" t="str">
        <f t="array" ref="M217">IF(F217&gt;30%,"YES","NO")</f>
        <v>NO</v>
      </c>
      <c r="N217" s="39" t="str">
        <f t="array" ref="N217">IF(H217&lt;30%,"YES","NO")</f>
        <v>YES</v>
      </c>
      <c r="O217" s="45" t="str">
        <f t="shared" si="39"/>
        <v/>
      </c>
      <c r="P217" s="40" t="str">
        <f t="shared" si="40"/>
        <v>Small cap stocks</v>
      </c>
    </row>
    <row r="218" hidden="1">
      <c r="K218" s="26" t="s">
        <v>461</v>
      </c>
      <c r="L218" s="26" t="s">
        <v>461</v>
      </c>
    </row>
    <row r="219" hidden="1">
      <c r="K219" s="26" t="s">
        <v>461</v>
      </c>
      <c r="L219" s="26" t="s">
        <v>461</v>
      </c>
    </row>
    <row r="220" hidden="1">
      <c r="K220" s="26" t="s">
        <v>461</v>
      </c>
      <c r="L220" s="26" t="s">
        <v>461</v>
      </c>
    </row>
    <row r="221" hidden="1">
      <c r="K221" s="26" t="s">
        <v>461</v>
      </c>
      <c r="L221" s="26" t="s">
        <v>461</v>
      </c>
    </row>
    <row r="222" hidden="1">
      <c r="K222" s="26" t="s">
        <v>461</v>
      </c>
      <c r="L222" s="26" t="s">
        <v>461</v>
      </c>
    </row>
    <row r="223" hidden="1">
      <c r="K223" s="26" t="s">
        <v>461</v>
      </c>
      <c r="L223" s="26" t="s">
        <v>461</v>
      </c>
    </row>
    <row r="224" hidden="1">
      <c r="K224" s="26" t="s">
        <v>461</v>
      </c>
      <c r="L224" s="26" t="s">
        <v>461</v>
      </c>
    </row>
    <row r="225" hidden="1">
      <c r="K225" s="26" t="s">
        <v>461</v>
      </c>
      <c r="L225" s="26" t="s">
        <v>461</v>
      </c>
    </row>
    <row r="226" hidden="1">
      <c r="K226" s="26" t="s">
        <v>461</v>
      </c>
      <c r="L226" s="26" t="s">
        <v>461</v>
      </c>
    </row>
    <row r="227" hidden="1">
      <c r="K227" s="26" t="s">
        <v>461</v>
      </c>
      <c r="L227" s="26" t="s">
        <v>461</v>
      </c>
    </row>
    <row r="228" hidden="1">
      <c r="K228" s="26" t="s">
        <v>461</v>
      </c>
      <c r="L228" s="26" t="s">
        <v>461</v>
      </c>
    </row>
    <row r="229" hidden="1">
      <c r="K229" s="26" t="s">
        <v>461</v>
      </c>
      <c r="L229" s="26" t="s">
        <v>461</v>
      </c>
    </row>
    <row r="230" hidden="1">
      <c r="K230" s="26" t="s">
        <v>461</v>
      </c>
      <c r="L230" s="26" t="s">
        <v>461</v>
      </c>
    </row>
    <row r="231" hidden="1">
      <c r="K231" s="26" t="s">
        <v>461</v>
      </c>
      <c r="L231" s="26" t="s">
        <v>461</v>
      </c>
    </row>
    <row r="232" hidden="1">
      <c r="K232" s="26" t="s">
        <v>461</v>
      </c>
      <c r="L232" s="26" t="s">
        <v>461</v>
      </c>
    </row>
    <row r="233" hidden="1">
      <c r="K233" s="26" t="s">
        <v>461</v>
      </c>
      <c r="L233" s="26" t="s">
        <v>461</v>
      </c>
    </row>
    <row r="234" hidden="1">
      <c r="K234" s="26" t="s">
        <v>461</v>
      </c>
      <c r="L234" s="26" t="s">
        <v>461</v>
      </c>
    </row>
    <row r="235" hidden="1">
      <c r="K235" s="26" t="s">
        <v>461</v>
      </c>
      <c r="L235" s="26" t="s">
        <v>461</v>
      </c>
    </row>
    <row r="236" hidden="1">
      <c r="K236" s="26" t="s">
        <v>461</v>
      </c>
      <c r="L236" s="26" t="s">
        <v>461</v>
      </c>
    </row>
    <row r="237" hidden="1">
      <c r="K237" s="26" t="s">
        <v>461</v>
      </c>
      <c r="L237" s="26" t="s">
        <v>461</v>
      </c>
    </row>
    <row r="238" hidden="1">
      <c r="K238" s="26" t="s">
        <v>461</v>
      </c>
      <c r="L238" s="26" t="s">
        <v>461</v>
      </c>
    </row>
    <row r="239" hidden="1">
      <c r="K239" s="26" t="s">
        <v>461</v>
      </c>
      <c r="L239" s="26" t="s">
        <v>461</v>
      </c>
    </row>
    <row r="240" hidden="1">
      <c r="K240" s="26" t="s">
        <v>461</v>
      </c>
      <c r="L240" s="26" t="s">
        <v>461</v>
      </c>
    </row>
    <row r="241" hidden="1">
      <c r="K241" s="26" t="s">
        <v>461</v>
      </c>
      <c r="L241" s="26" t="s">
        <v>461</v>
      </c>
    </row>
    <row r="242" hidden="1">
      <c r="K242" s="26" t="s">
        <v>461</v>
      </c>
      <c r="L242" s="26" t="s">
        <v>461</v>
      </c>
    </row>
    <row r="243" hidden="1">
      <c r="K243" s="26" t="s">
        <v>461</v>
      </c>
      <c r="L243" s="26" t="s">
        <v>461</v>
      </c>
    </row>
    <row r="244" hidden="1">
      <c r="K244" s="26" t="s">
        <v>461</v>
      </c>
      <c r="L244" s="26" t="s">
        <v>461</v>
      </c>
    </row>
    <row r="245" hidden="1">
      <c r="K245" s="26" t="s">
        <v>461</v>
      </c>
      <c r="L245" s="26" t="s">
        <v>461</v>
      </c>
    </row>
    <row r="246" hidden="1">
      <c r="K246" s="26" t="s">
        <v>461</v>
      </c>
      <c r="L246" s="26" t="s">
        <v>461</v>
      </c>
    </row>
    <row r="247" hidden="1">
      <c r="K247" s="26" t="s">
        <v>461</v>
      </c>
      <c r="L247" s="26" t="s">
        <v>461</v>
      </c>
    </row>
    <row r="248" hidden="1">
      <c r="K248" s="26" t="s">
        <v>461</v>
      </c>
      <c r="L248" s="26" t="s">
        <v>461</v>
      </c>
    </row>
    <row r="249" hidden="1">
      <c r="K249" s="26" t="s">
        <v>461</v>
      </c>
      <c r="L249" s="26" t="s">
        <v>461</v>
      </c>
    </row>
    <row r="250" hidden="1">
      <c r="K250" s="26" t="s">
        <v>461</v>
      </c>
      <c r="L250" s="26" t="s">
        <v>461</v>
      </c>
    </row>
    <row r="251" hidden="1">
      <c r="K251" s="26" t="s">
        <v>461</v>
      </c>
      <c r="L251" s="26" t="s">
        <v>461</v>
      </c>
    </row>
    <row r="252" hidden="1">
      <c r="K252" s="26" t="s">
        <v>461</v>
      </c>
      <c r="L252" s="26" t="s">
        <v>461</v>
      </c>
    </row>
    <row r="253" hidden="1">
      <c r="K253" s="26" t="s">
        <v>461</v>
      </c>
      <c r="L253" s="26" t="s">
        <v>461</v>
      </c>
    </row>
    <row r="254" hidden="1">
      <c r="K254" s="26" t="s">
        <v>461</v>
      </c>
      <c r="L254" s="26" t="s">
        <v>461</v>
      </c>
    </row>
    <row r="255" hidden="1">
      <c r="K255" s="26" t="s">
        <v>461</v>
      </c>
      <c r="L255" s="26" t="s">
        <v>461</v>
      </c>
    </row>
    <row r="256" hidden="1">
      <c r="K256" s="26" t="s">
        <v>461</v>
      </c>
      <c r="L256" s="26" t="s">
        <v>461</v>
      </c>
    </row>
    <row r="257" hidden="1">
      <c r="K257" s="26" t="s">
        <v>461</v>
      </c>
      <c r="L257" s="26" t="s">
        <v>461</v>
      </c>
    </row>
    <row r="258" hidden="1">
      <c r="K258" s="26" t="s">
        <v>461</v>
      </c>
      <c r="L258" s="26" t="s">
        <v>461</v>
      </c>
    </row>
    <row r="259" hidden="1">
      <c r="K259" s="26" t="s">
        <v>461</v>
      </c>
      <c r="L259" s="26" t="s">
        <v>461</v>
      </c>
    </row>
    <row r="260" hidden="1">
      <c r="K260" s="26" t="s">
        <v>461</v>
      </c>
      <c r="L260" s="26" t="s">
        <v>461</v>
      </c>
    </row>
    <row r="261" hidden="1">
      <c r="K261" s="26" t="s">
        <v>461</v>
      </c>
      <c r="L261" s="26" t="s">
        <v>461</v>
      </c>
    </row>
    <row r="262" hidden="1">
      <c r="K262" s="26" t="s">
        <v>461</v>
      </c>
      <c r="L262" s="26" t="s">
        <v>461</v>
      </c>
    </row>
    <row r="263" hidden="1">
      <c r="K263" s="26" t="s">
        <v>461</v>
      </c>
      <c r="L263" s="26" t="s">
        <v>461</v>
      </c>
    </row>
    <row r="264" hidden="1">
      <c r="K264" s="26" t="s">
        <v>461</v>
      </c>
      <c r="L264" s="26" t="s">
        <v>461</v>
      </c>
    </row>
    <row r="265" hidden="1">
      <c r="K265" s="26" t="s">
        <v>461</v>
      </c>
      <c r="L265" s="26" t="s">
        <v>461</v>
      </c>
    </row>
    <row r="266" hidden="1">
      <c r="K266" s="26" t="s">
        <v>461</v>
      </c>
      <c r="L266" s="26" t="s">
        <v>461</v>
      </c>
    </row>
    <row r="267" hidden="1">
      <c r="K267" s="26" t="s">
        <v>461</v>
      </c>
      <c r="L267" s="26" t="s">
        <v>461</v>
      </c>
    </row>
    <row r="268" hidden="1">
      <c r="K268" s="26" t="s">
        <v>461</v>
      </c>
      <c r="L268" s="26" t="s">
        <v>461</v>
      </c>
    </row>
    <row r="269" hidden="1">
      <c r="K269" s="26" t="s">
        <v>461</v>
      </c>
      <c r="L269" s="26" t="s">
        <v>461</v>
      </c>
    </row>
    <row r="270" hidden="1">
      <c r="K270" s="26" t="s">
        <v>461</v>
      </c>
      <c r="L270" s="26" t="s">
        <v>461</v>
      </c>
    </row>
    <row r="271" hidden="1">
      <c r="K271" s="26" t="s">
        <v>461</v>
      </c>
      <c r="L271" s="26" t="s">
        <v>461</v>
      </c>
    </row>
    <row r="272" hidden="1">
      <c r="K272" s="26" t="s">
        <v>461</v>
      </c>
      <c r="L272" s="26" t="s">
        <v>461</v>
      </c>
    </row>
    <row r="273" hidden="1">
      <c r="K273" s="26" t="s">
        <v>461</v>
      </c>
      <c r="L273" s="26" t="s">
        <v>461</v>
      </c>
    </row>
    <row r="274" hidden="1">
      <c r="K274" s="26" t="s">
        <v>461</v>
      </c>
      <c r="L274" s="26" t="s">
        <v>461</v>
      </c>
    </row>
    <row r="275" hidden="1">
      <c r="K275" s="26" t="s">
        <v>461</v>
      </c>
      <c r="L275" s="26" t="s">
        <v>461</v>
      </c>
    </row>
    <row r="276" hidden="1">
      <c r="K276" s="26" t="s">
        <v>461</v>
      </c>
      <c r="L276" s="26" t="s">
        <v>461</v>
      </c>
    </row>
    <row r="277" hidden="1">
      <c r="K277" s="26" t="s">
        <v>461</v>
      </c>
      <c r="L277" s="26" t="s">
        <v>461</v>
      </c>
    </row>
    <row r="278" hidden="1">
      <c r="K278" s="26" t="s">
        <v>461</v>
      </c>
      <c r="L278" s="26" t="s">
        <v>461</v>
      </c>
    </row>
    <row r="279" hidden="1">
      <c r="K279" s="26" t="s">
        <v>461</v>
      </c>
      <c r="L279" s="26" t="s">
        <v>461</v>
      </c>
    </row>
    <row r="280" hidden="1">
      <c r="K280" s="26" t="s">
        <v>461</v>
      </c>
      <c r="L280" s="26" t="s">
        <v>461</v>
      </c>
    </row>
    <row r="281" hidden="1">
      <c r="K281" s="26" t="s">
        <v>461</v>
      </c>
      <c r="L281" s="26" t="s">
        <v>461</v>
      </c>
    </row>
    <row r="282" hidden="1">
      <c r="K282" s="26" t="s">
        <v>461</v>
      </c>
      <c r="L282" s="26" t="s">
        <v>461</v>
      </c>
    </row>
    <row r="283" hidden="1">
      <c r="K283" s="26" t="s">
        <v>461</v>
      </c>
      <c r="L283" s="26" t="s">
        <v>461</v>
      </c>
    </row>
    <row r="284" hidden="1">
      <c r="K284" s="26" t="s">
        <v>461</v>
      </c>
      <c r="L284" s="26" t="s">
        <v>461</v>
      </c>
    </row>
    <row r="285" hidden="1">
      <c r="K285" s="26" t="s">
        <v>461</v>
      </c>
      <c r="L285" s="26" t="s">
        <v>461</v>
      </c>
    </row>
    <row r="286" hidden="1">
      <c r="K286" s="26" t="s">
        <v>461</v>
      </c>
      <c r="L286" s="26" t="s">
        <v>461</v>
      </c>
    </row>
    <row r="287" hidden="1">
      <c r="K287" s="26" t="s">
        <v>461</v>
      </c>
      <c r="L287" s="26" t="s">
        <v>461</v>
      </c>
    </row>
    <row r="288" hidden="1">
      <c r="K288" s="26" t="s">
        <v>461</v>
      </c>
      <c r="L288" s="26" t="s">
        <v>461</v>
      </c>
    </row>
    <row r="289" hidden="1">
      <c r="K289" s="26" t="s">
        <v>461</v>
      </c>
      <c r="L289" s="26" t="s">
        <v>461</v>
      </c>
    </row>
    <row r="290" hidden="1">
      <c r="K290" s="26" t="s">
        <v>461</v>
      </c>
      <c r="L290" s="26" t="s">
        <v>461</v>
      </c>
    </row>
    <row r="291" hidden="1">
      <c r="K291" s="26" t="s">
        <v>461</v>
      </c>
      <c r="L291" s="26" t="s">
        <v>461</v>
      </c>
    </row>
    <row r="292" hidden="1">
      <c r="K292" s="26" t="s">
        <v>461</v>
      </c>
      <c r="L292" s="26" t="s">
        <v>461</v>
      </c>
    </row>
    <row r="293" hidden="1">
      <c r="K293" s="26" t="s">
        <v>461</v>
      </c>
      <c r="L293" s="26" t="s">
        <v>461</v>
      </c>
    </row>
    <row r="294" hidden="1">
      <c r="K294" s="26" t="s">
        <v>461</v>
      </c>
      <c r="L294" s="26" t="s">
        <v>461</v>
      </c>
    </row>
    <row r="295" hidden="1">
      <c r="K295" s="26" t="s">
        <v>461</v>
      </c>
      <c r="L295" s="26" t="s">
        <v>461</v>
      </c>
    </row>
    <row r="296" hidden="1">
      <c r="K296" s="26" t="s">
        <v>461</v>
      </c>
      <c r="L296" s="26" t="s">
        <v>461</v>
      </c>
    </row>
    <row r="297" hidden="1">
      <c r="K297" s="26" t="s">
        <v>461</v>
      </c>
      <c r="L297" s="26" t="s">
        <v>461</v>
      </c>
    </row>
    <row r="298" hidden="1">
      <c r="K298" s="26" t="s">
        <v>461</v>
      </c>
      <c r="L298" s="26" t="s">
        <v>461</v>
      </c>
    </row>
    <row r="299" hidden="1">
      <c r="K299" s="26" t="s">
        <v>461</v>
      </c>
      <c r="L299" s="26" t="s">
        <v>461</v>
      </c>
    </row>
    <row r="300" hidden="1">
      <c r="K300" s="26" t="s">
        <v>461</v>
      </c>
      <c r="L300" s="26" t="s">
        <v>461</v>
      </c>
    </row>
    <row r="301" hidden="1">
      <c r="K301" s="26" t="s">
        <v>461</v>
      </c>
      <c r="L301" s="26" t="s">
        <v>461</v>
      </c>
    </row>
    <row r="302" hidden="1">
      <c r="K302" s="26" t="s">
        <v>461</v>
      </c>
      <c r="L302" s="26" t="s">
        <v>461</v>
      </c>
    </row>
    <row r="303" hidden="1">
      <c r="K303" s="26" t="s">
        <v>461</v>
      </c>
      <c r="L303" s="26" t="s">
        <v>461</v>
      </c>
    </row>
    <row r="304" hidden="1">
      <c r="K304" s="26" t="s">
        <v>461</v>
      </c>
      <c r="L304" s="26" t="s">
        <v>461</v>
      </c>
    </row>
    <row r="305" hidden="1">
      <c r="K305" s="26" t="s">
        <v>461</v>
      </c>
      <c r="L305" s="26" t="s">
        <v>461</v>
      </c>
    </row>
    <row r="306" hidden="1">
      <c r="K306" s="26" t="s">
        <v>461</v>
      </c>
      <c r="L306" s="26" t="s">
        <v>461</v>
      </c>
    </row>
    <row r="307" hidden="1">
      <c r="K307" s="26" t="s">
        <v>461</v>
      </c>
      <c r="L307" s="26" t="s">
        <v>461</v>
      </c>
    </row>
    <row r="308" hidden="1">
      <c r="K308" s="26" t="s">
        <v>461</v>
      </c>
      <c r="L308" s="26" t="s">
        <v>461</v>
      </c>
    </row>
    <row r="309" hidden="1">
      <c r="K309" s="26" t="s">
        <v>461</v>
      </c>
      <c r="L309" s="26" t="s">
        <v>461</v>
      </c>
    </row>
    <row r="310" hidden="1">
      <c r="K310" s="26" t="s">
        <v>461</v>
      </c>
      <c r="L310" s="26" t="s">
        <v>461</v>
      </c>
    </row>
    <row r="311" hidden="1">
      <c r="K311" s="26" t="s">
        <v>461</v>
      </c>
      <c r="L311" s="26" t="s">
        <v>461</v>
      </c>
    </row>
    <row r="312" hidden="1">
      <c r="K312" s="26" t="s">
        <v>461</v>
      </c>
      <c r="L312" s="26" t="s">
        <v>461</v>
      </c>
    </row>
    <row r="313" hidden="1">
      <c r="K313" s="26" t="s">
        <v>461</v>
      </c>
      <c r="L313" s="26" t="s">
        <v>461</v>
      </c>
    </row>
    <row r="314" hidden="1">
      <c r="K314" s="26" t="s">
        <v>461</v>
      </c>
      <c r="L314" s="26" t="s">
        <v>461</v>
      </c>
    </row>
    <row r="315" hidden="1">
      <c r="K315" s="26" t="s">
        <v>461</v>
      </c>
      <c r="L315" s="26" t="s">
        <v>461</v>
      </c>
    </row>
    <row r="316" hidden="1">
      <c r="K316" s="26" t="s">
        <v>461</v>
      </c>
      <c r="L316" s="26" t="s">
        <v>461</v>
      </c>
    </row>
    <row r="317" hidden="1">
      <c r="K317" s="26" t="s">
        <v>461</v>
      </c>
      <c r="L317" s="26" t="s">
        <v>461</v>
      </c>
    </row>
    <row r="318" hidden="1">
      <c r="K318" s="26" t="s">
        <v>461</v>
      </c>
      <c r="L318" s="26" t="s">
        <v>461</v>
      </c>
    </row>
    <row r="319" hidden="1">
      <c r="K319" s="26" t="s">
        <v>461</v>
      </c>
      <c r="L319" s="26" t="s">
        <v>461</v>
      </c>
    </row>
    <row r="320" hidden="1">
      <c r="K320" s="26" t="s">
        <v>461</v>
      </c>
      <c r="L320" s="26" t="s">
        <v>461</v>
      </c>
    </row>
    <row r="321" hidden="1">
      <c r="K321" s="26" t="s">
        <v>461</v>
      </c>
      <c r="L321" s="26" t="s">
        <v>461</v>
      </c>
    </row>
    <row r="322" hidden="1">
      <c r="K322" s="26" t="s">
        <v>461</v>
      </c>
      <c r="L322" s="26" t="s">
        <v>461</v>
      </c>
    </row>
    <row r="323" hidden="1">
      <c r="K323" s="26" t="s">
        <v>461</v>
      </c>
      <c r="L323" s="26" t="s">
        <v>461</v>
      </c>
    </row>
    <row r="324" hidden="1">
      <c r="K324" s="26" t="s">
        <v>461</v>
      </c>
      <c r="L324" s="26" t="s">
        <v>461</v>
      </c>
    </row>
    <row r="325" hidden="1">
      <c r="K325" s="26" t="s">
        <v>461</v>
      </c>
      <c r="L325" s="26" t="s">
        <v>461</v>
      </c>
    </row>
    <row r="326" hidden="1">
      <c r="K326" s="26" t="s">
        <v>461</v>
      </c>
      <c r="L326" s="26" t="s">
        <v>461</v>
      </c>
    </row>
    <row r="327" hidden="1">
      <c r="K327" s="26" t="s">
        <v>461</v>
      </c>
      <c r="L327" s="26" t="s">
        <v>461</v>
      </c>
    </row>
    <row r="328" hidden="1">
      <c r="K328" s="26" t="s">
        <v>461</v>
      </c>
      <c r="L328" s="26" t="s">
        <v>461</v>
      </c>
    </row>
    <row r="329" hidden="1">
      <c r="K329" s="26" t="s">
        <v>461</v>
      </c>
      <c r="L329" s="26" t="s">
        <v>461</v>
      </c>
    </row>
    <row r="330" hidden="1">
      <c r="K330" s="26" t="s">
        <v>461</v>
      </c>
      <c r="L330" s="26" t="s">
        <v>461</v>
      </c>
    </row>
    <row r="331" hidden="1">
      <c r="K331" s="26" t="s">
        <v>461</v>
      </c>
      <c r="L331" s="26" t="s">
        <v>461</v>
      </c>
    </row>
    <row r="332" hidden="1">
      <c r="K332" s="26" t="s">
        <v>461</v>
      </c>
      <c r="L332" s="26" t="s">
        <v>461</v>
      </c>
    </row>
    <row r="333" hidden="1">
      <c r="K333" s="26" t="s">
        <v>461</v>
      </c>
      <c r="L333" s="26" t="s">
        <v>461</v>
      </c>
    </row>
    <row r="334" hidden="1">
      <c r="K334" s="26" t="s">
        <v>461</v>
      </c>
      <c r="L334" s="26" t="s">
        <v>461</v>
      </c>
    </row>
    <row r="335" hidden="1">
      <c r="K335" s="26" t="s">
        <v>461</v>
      </c>
      <c r="L335" s="26" t="s">
        <v>461</v>
      </c>
    </row>
    <row r="336" hidden="1">
      <c r="K336" s="26" t="s">
        <v>461</v>
      </c>
      <c r="L336" s="26" t="s">
        <v>461</v>
      </c>
    </row>
    <row r="337" hidden="1">
      <c r="K337" s="26" t="s">
        <v>461</v>
      </c>
      <c r="L337" s="26" t="s">
        <v>461</v>
      </c>
    </row>
    <row r="338" hidden="1">
      <c r="K338" s="26" t="s">
        <v>461</v>
      </c>
      <c r="L338" s="26" t="s">
        <v>461</v>
      </c>
    </row>
    <row r="339" hidden="1">
      <c r="K339" s="26" t="s">
        <v>461</v>
      </c>
      <c r="L339" s="26" t="s">
        <v>461</v>
      </c>
    </row>
    <row r="340" hidden="1">
      <c r="K340" s="26" t="s">
        <v>461</v>
      </c>
      <c r="L340" s="26" t="s">
        <v>461</v>
      </c>
    </row>
    <row r="341" hidden="1">
      <c r="K341" s="26" t="s">
        <v>461</v>
      </c>
      <c r="L341" s="26" t="s">
        <v>461</v>
      </c>
    </row>
    <row r="342" hidden="1">
      <c r="K342" s="26" t="s">
        <v>461</v>
      </c>
      <c r="L342" s="26" t="s">
        <v>461</v>
      </c>
    </row>
    <row r="343" hidden="1">
      <c r="K343" s="26" t="s">
        <v>461</v>
      </c>
      <c r="L343" s="26" t="s">
        <v>461</v>
      </c>
    </row>
    <row r="344" hidden="1">
      <c r="K344" s="26" t="s">
        <v>461</v>
      </c>
      <c r="L344" s="26" t="s">
        <v>461</v>
      </c>
    </row>
    <row r="345" hidden="1">
      <c r="K345" s="26" t="s">
        <v>461</v>
      </c>
      <c r="L345" s="26" t="s">
        <v>461</v>
      </c>
    </row>
    <row r="346" hidden="1">
      <c r="K346" s="26" t="s">
        <v>461</v>
      </c>
      <c r="L346" s="26" t="s">
        <v>461</v>
      </c>
    </row>
    <row r="347" hidden="1">
      <c r="K347" s="26" t="s">
        <v>461</v>
      </c>
      <c r="L347" s="26" t="s">
        <v>461</v>
      </c>
    </row>
    <row r="348" hidden="1">
      <c r="K348" s="26" t="s">
        <v>461</v>
      </c>
      <c r="L348" s="26" t="s">
        <v>461</v>
      </c>
    </row>
    <row r="349" hidden="1">
      <c r="K349" s="26" t="s">
        <v>461</v>
      </c>
      <c r="L349" s="26" t="s">
        <v>461</v>
      </c>
    </row>
    <row r="350" hidden="1">
      <c r="K350" s="26" t="s">
        <v>461</v>
      </c>
      <c r="L350" s="26" t="s">
        <v>461</v>
      </c>
    </row>
    <row r="351" hidden="1">
      <c r="K351" s="26" t="s">
        <v>461</v>
      </c>
      <c r="L351" s="26" t="s">
        <v>461</v>
      </c>
    </row>
    <row r="352" hidden="1">
      <c r="K352" s="26" t="s">
        <v>461</v>
      </c>
      <c r="L352" s="26" t="s">
        <v>461</v>
      </c>
    </row>
    <row r="353" hidden="1">
      <c r="K353" s="26" t="s">
        <v>461</v>
      </c>
      <c r="L353" s="26" t="s">
        <v>461</v>
      </c>
    </row>
    <row r="354" hidden="1">
      <c r="K354" s="26" t="s">
        <v>461</v>
      </c>
      <c r="L354" s="26" t="s">
        <v>461</v>
      </c>
    </row>
    <row r="355" hidden="1">
      <c r="K355" s="26" t="s">
        <v>461</v>
      </c>
      <c r="L355" s="26" t="s">
        <v>461</v>
      </c>
    </row>
    <row r="356" hidden="1">
      <c r="K356" s="26" t="s">
        <v>461</v>
      </c>
      <c r="L356" s="26" t="s">
        <v>461</v>
      </c>
    </row>
    <row r="357" hidden="1">
      <c r="K357" s="26" t="s">
        <v>461</v>
      </c>
      <c r="L357" s="26" t="s">
        <v>461</v>
      </c>
    </row>
    <row r="358" hidden="1">
      <c r="K358" s="26" t="s">
        <v>461</v>
      </c>
      <c r="L358" s="26" t="s">
        <v>461</v>
      </c>
    </row>
    <row r="359" hidden="1">
      <c r="K359" s="26" t="s">
        <v>461</v>
      </c>
      <c r="L359" s="26" t="s">
        <v>461</v>
      </c>
    </row>
    <row r="360" hidden="1">
      <c r="K360" s="26" t="s">
        <v>461</v>
      </c>
      <c r="L360" s="26" t="s">
        <v>461</v>
      </c>
    </row>
    <row r="361" hidden="1">
      <c r="K361" s="26" t="s">
        <v>461</v>
      </c>
      <c r="L361" s="26" t="s">
        <v>461</v>
      </c>
    </row>
    <row r="362" hidden="1">
      <c r="K362" s="26" t="s">
        <v>461</v>
      </c>
      <c r="L362" s="26" t="s">
        <v>461</v>
      </c>
    </row>
    <row r="363" hidden="1">
      <c r="K363" s="26" t="s">
        <v>461</v>
      </c>
      <c r="L363" s="26" t="s">
        <v>461</v>
      </c>
    </row>
    <row r="364" hidden="1">
      <c r="K364" s="26" t="s">
        <v>461</v>
      </c>
      <c r="L364" s="26" t="s">
        <v>461</v>
      </c>
    </row>
    <row r="365" hidden="1">
      <c r="K365" s="26" t="s">
        <v>461</v>
      </c>
      <c r="L365" s="26" t="s">
        <v>461</v>
      </c>
    </row>
    <row r="366" hidden="1">
      <c r="K366" s="26" t="s">
        <v>461</v>
      </c>
      <c r="L366" s="26" t="s">
        <v>461</v>
      </c>
    </row>
    <row r="367" hidden="1">
      <c r="K367" s="26" t="s">
        <v>461</v>
      </c>
      <c r="L367" s="26" t="s">
        <v>461</v>
      </c>
    </row>
    <row r="368" hidden="1">
      <c r="K368" s="26" t="s">
        <v>461</v>
      </c>
      <c r="L368" s="26" t="s">
        <v>461</v>
      </c>
    </row>
    <row r="369" hidden="1">
      <c r="K369" s="26" t="s">
        <v>461</v>
      </c>
      <c r="L369" s="26" t="s">
        <v>461</v>
      </c>
    </row>
    <row r="370" hidden="1">
      <c r="K370" s="26" t="s">
        <v>461</v>
      </c>
      <c r="L370" s="26" t="s">
        <v>461</v>
      </c>
    </row>
    <row r="371" hidden="1">
      <c r="K371" s="26" t="s">
        <v>461</v>
      </c>
      <c r="L371" s="26" t="s">
        <v>461</v>
      </c>
    </row>
    <row r="372" hidden="1">
      <c r="K372" s="26" t="s">
        <v>461</v>
      </c>
      <c r="L372" s="26" t="s">
        <v>461</v>
      </c>
    </row>
    <row r="373" hidden="1">
      <c r="K373" s="26" t="s">
        <v>461</v>
      </c>
      <c r="L373" s="26" t="s">
        <v>461</v>
      </c>
    </row>
    <row r="374" hidden="1">
      <c r="K374" s="26" t="s">
        <v>461</v>
      </c>
      <c r="L374" s="26" t="s">
        <v>461</v>
      </c>
    </row>
    <row r="375" hidden="1">
      <c r="K375" s="26" t="s">
        <v>461</v>
      </c>
      <c r="L375" s="26" t="s">
        <v>461</v>
      </c>
    </row>
    <row r="376" hidden="1">
      <c r="K376" s="26" t="s">
        <v>461</v>
      </c>
      <c r="L376" s="26" t="s">
        <v>461</v>
      </c>
    </row>
    <row r="377" hidden="1">
      <c r="K377" s="26" t="s">
        <v>461</v>
      </c>
      <c r="L377" s="26" t="s">
        <v>461</v>
      </c>
    </row>
    <row r="378" hidden="1">
      <c r="K378" s="26" t="s">
        <v>461</v>
      </c>
      <c r="L378" s="26" t="s">
        <v>461</v>
      </c>
    </row>
    <row r="379" hidden="1">
      <c r="K379" s="26" t="s">
        <v>461</v>
      </c>
      <c r="L379" s="26" t="s">
        <v>461</v>
      </c>
    </row>
    <row r="380" hidden="1">
      <c r="K380" s="26" t="s">
        <v>461</v>
      </c>
      <c r="L380" s="26" t="s">
        <v>461</v>
      </c>
    </row>
    <row r="381" hidden="1">
      <c r="K381" s="26" t="s">
        <v>461</v>
      </c>
      <c r="L381" s="26" t="s">
        <v>461</v>
      </c>
    </row>
    <row r="382" hidden="1">
      <c r="K382" s="26" t="s">
        <v>461</v>
      </c>
      <c r="L382" s="26" t="s">
        <v>461</v>
      </c>
    </row>
    <row r="383" hidden="1">
      <c r="K383" s="26" t="s">
        <v>461</v>
      </c>
      <c r="L383" s="26" t="s">
        <v>461</v>
      </c>
    </row>
    <row r="384" hidden="1">
      <c r="K384" s="26" t="s">
        <v>461</v>
      </c>
      <c r="L384" s="26" t="s">
        <v>461</v>
      </c>
    </row>
    <row r="385" hidden="1">
      <c r="K385" s="26" t="s">
        <v>461</v>
      </c>
      <c r="L385" s="26" t="s">
        <v>461</v>
      </c>
    </row>
    <row r="386" hidden="1">
      <c r="K386" s="26" t="s">
        <v>461</v>
      </c>
      <c r="L386" s="26" t="s">
        <v>461</v>
      </c>
    </row>
    <row r="387" hidden="1">
      <c r="K387" s="26" t="s">
        <v>461</v>
      </c>
      <c r="L387" s="26" t="s">
        <v>461</v>
      </c>
    </row>
    <row r="388" hidden="1">
      <c r="K388" s="26" t="s">
        <v>461</v>
      </c>
      <c r="L388" s="26" t="s">
        <v>461</v>
      </c>
    </row>
    <row r="389" hidden="1">
      <c r="K389" s="26" t="s">
        <v>461</v>
      </c>
      <c r="L389" s="26" t="s">
        <v>461</v>
      </c>
    </row>
    <row r="390" hidden="1">
      <c r="K390" s="26" t="s">
        <v>461</v>
      </c>
      <c r="L390" s="26" t="s">
        <v>461</v>
      </c>
    </row>
    <row r="391" hidden="1">
      <c r="K391" s="26" t="s">
        <v>461</v>
      </c>
      <c r="L391" s="26" t="s">
        <v>461</v>
      </c>
    </row>
    <row r="392" hidden="1">
      <c r="K392" s="26" t="s">
        <v>461</v>
      </c>
      <c r="L392" s="26" t="s">
        <v>461</v>
      </c>
    </row>
    <row r="393" hidden="1">
      <c r="K393" s="26" t="s">
        <v>461</v>
      </c>
      <c r="L393" s="26" t="s">
        <v>461</v>
      </c>
    </row>
    <row r="394" hidden="1">
      <c r="K394" s="26" t="s">
        <v>461</v>
      </c>
      <c r="L394" s="26" t="s">
        <v>461</v>
      </c>
    </row>
    <row r="395" hidden="1">
      <c r="K395" s="26" t="s">
        <v>461</v>
      </c>
      <c r="L395" s="26" t="s">
        <v>461</v>
      </c>
    </row>
    <row r="396" hidden="1">
      <c r="K396" s="26" t="s">
        <v>461</v>
      </c>
      <c r="L396" s="26" t="s">
        <v>461</v>
      </c>
    </row>
    <row r="397" hidden="1">
      <c r="K397" s="26" t="s">
        <v>461</v>
      </c>
      <c r="L397" s="26" t="s">
        <v>461</v>
      </c>
    </row>
    <row r="398" hidden="1">
      <c r="K398" s="26" t="s">
        <v>461</v>
      </c>
      <c r="L398" s="26" t="s">
        <v>461</v>
      </c>
    </row>
    <row r="399" hidden="1">
      <c r="K399" s="26" t="s">
        <v>461</v>
      </c>
      <c r="L399" s="26" t="s">
        <v>461</v>
      </c>
    </row>
    <row r="400" hidden="1">
      <c r="K400" s="26" t="s">
        <v>461</v>
      </c>
      <c r="L400" s="26" t="s">
        <v>461</v>
      </c>
    </row>
    <row r="401" hidden="1">
      <c r="K401" s="26" t="s">
        <v>461</v>
      </c>
      <c r="L401" s="26" t="s">
        <v>461</v>
      </c>
    </row>
    <row r="402" hidden="1">
      <c r="K402" s="26" t="s">
        <v>461</v>
      </c>
      <c r="L402" s="26" t="s">
        <v>461</v>
      </c>
    </row>
    <row r="403" hidden="1">
      <c r="K403" s="26" t="s">
        <v>461</v>
      </c>
      <c r="L403" s="26" t="s">
        <v>461</v>
      </c>
    </row>
    <row r="404" hidden="1">
      <c r="K404" s="26" t="s">
        <v>461</v>
      </c>
      <c r="L404" s="26" t="s">
        <v>461</v>
      </c>
    </row>
    <row r="405" hidden="1">
      <c r="K405" s="26" t="s">
        <v>461</v>
      </c>
      <c r="L405" s="26" t="s">
        <v>461</v>
      </c>
    </row>
    <row r="406" hidden="1">
      <c r="K406" s="26" t="s">
        <v>461</v>
      </c>
      <c r="L406" s="26" t="s">
        <v>461</v>
      </c>
    </row>
    <row r="407" hidden="1">
      <c r="K407" s="26" t="s">
        <v>461</v>
      </c>
      <c r="L407" s="26" t="s">
        <v>461</v>
      </c>
    </row>
    <row r="408" hidden="1">
      <c r="K408" s="26" t="s">
        <v>461</v>
      </c>
      <c r="L408" s="26" t="s">
        <v>461</v>
      </c>
    </row>
    <row r="409" hidden="1">
      <c r="K409" s="26" t="s">
        <v>461</v>
      </c>
      <c r="L409" s="26" t="s">
        <v>461</v>
      </c>
    </row>
    <row r="410" hidden="1">
      <c r="K410" s="26" t="s">
        <v>461</v>
      </c>
      <c r="L410" s="26" t="s">
        <v>461</v>
      </c>
    </row>
    <row r="411" hidden="1">
      <c r="K411" s="26" t="s">
        <v>461</v>
      </c>
      <c r="L411" s="26" t="s">
        <v>461</v>
      </c>
    </row>
    <row r="412" hidden="1">
      <c r="K412" s="26" t="s">
        <v>461</v>
      </c>
      <c r="L412" s="26" t="s">
        <v>461</v>
      </c>
    </row>
    <row r="413" hidden="1">
      <c r="K413" s="26" t="s">
        <v>461</v>
      </c>
      <c r="L413" s="26" t="s">
        <v>461</v>
      </c>
    </row>
    <row r="414" hidden="1">
      <c r="K414" s="26" t="s">
        <v>461</v>
      </c>
      <c r="L414" s="26" t="s">
        <v>461</v>
      </c>
    </row>
    <row r="415" hidden="1">
      <c r="K415" s="26" t="s">
        <v>461</v>
      </c>
      <c r="L415" s="26" t="s">
        <v>461</v>
      </c>
    </row>
    <row r="416" hidden="1">
      <c r="K416" s="26" t="s">
        <v>461</v>
      </c>
      <c r="L416" s="26" t="s">
        <v>461</v>
      </c>
    </row>
    <row r="417" hidden="1">
      <c r="K417" s="26" t="s">
        <v>461</v>
      </c>
      <c r="L417" s="26" t="s">
        <v>461</v>
      </c>
    </row>
    <row r="418" hidden="1">
      <c r="K418" s="26" t="s">
        <v>461</v>
      </c>
      <c r="L418" s="26" t="s">
        <v>461</v>
      </c>
    </row>
    <row r="419" hidden="1">
      <c r="K419" s="26" t="s">
        <v>461</v>
      </c>
      <c r="L419" s="26" t="s">
        <v>461</v>
      </c>
    </row>
    <row r="420" hidden="1">
      <c r="K420" s="26" t="s">
        <v>461</v>
      </c>
      <c r="L420" s="26" t="s">
        <v>461</v>
      </c>
    </row>
    <row r="421" hidden="1">
      <c r="K421" s="26" t="s">
        <v>461</v>
      </c>
      <c r="L421" s="26" t="s">
        <v>461</v>
      </c>
    </row>
    <row r="422" hidden="1">
      <c r="K422" s="26" t="s">
        <v>461</v>
      </c>
      <c r="L422" s="26" t="s">
        <v>461</v>
      </c>
    </row>
    <row r="423" hidden="1">
      <c r="K423" s="26" t="s">
        <v>461</v>
      </c>
      <c r="L423" s="26" t="s">
        <v>461</v>
      </c>
    </row>
    <row r="424" hidden="1">
      <c r="K424" s="26" t="s">
        <v>461</v>
      </c>
      <c r="L424" s="26" t="s">
        <v>461</v>
      </c>
    </row>
    <row r="425" hidden="1">
      <c r="K425" s="26" t="s">
        <v>461</v>
      </c>
      <c r="L425" s="26" t="s">
        <v>461</v>
      </c>
    </row>
    <row r="426" hidden="1">
      <c r="K426" s="26" t="s">
        <v>461</v>
      </c>
      <c r="L426" s="26" t="s">
        <v>461</v>
      </c>
    </row>
    <row r="427" hidden="1">
      <c r="K427" s="26" t="s">
        <v>461</v>
      </c>
      <c r="L427" s="26" t="s">
        <v>461</v>
      </c>
    </row>
    <row r="428" hidden="1">
      <c r="K428" s="26" t="s">
        <v>461</v>
      </c>
      <c r="L428" s="26" t="s">
        <v>461</v>
      </c>
    </row>
    <row r="429" hidden="1">
      <c r="K429" s="26" t="s">
        <v>461</v>
      </c>
      <c r="L429" s="26" t="s">
        <v>461</v>
      </c>
    </row>
    <row r="430" hidden="1">
      <c r="K430" s="26" t="s">
        <v>461</v>
      </c>
      <c r="L430" s="26" t="s">
        <v>461</v>
      </c>
    </row>
    <row r="431" hidden="1">
      <c r="K431" s="26" t="s">
        <v>461</v>
      </c>
      <c r="L431" s="26" t="s">
        <v>461</v>
      </c>
    </row>
    <row r="432" hidden="1">
      <c r="K432" s="26" t="s">
        <v>461</v>
      </c>
      <c r="L432" s="26" t="s">
        <v>461</v>
      </c>
    </row>
    <row r="433" hidden="1">
      <c r="K433" s="26" t="s">
        <v>461</v>
      </c>
      <c r="L433" s="26" t="s">
        <v>461</v>
      </c>
    </row>
    <row r="434" hidden="1">
      <c r="K434" s="26" t="s">
        <v>461</v>
      </c>
      <c r="L434" s="26" t="s">
        <v>461</v>
      </c>
    </row>
    <row r="435" hidden="1">
      <c r="K435" s="26" t="s">
        <v>461</v>
      </c>
      <c r="L435" s="26" t="s">
        <v>461</v>
      </c>
    </row>
    <row r="436" hidden="1">
      <c r="K436" s="26" t="s">
        <v>461</v>
      </c>
      <c r="L436" s="26" t="s">
        <v>461</v>
      </c>
    </row>
    <row r="437" hidden="1">
      <c r="K437" s="26" t="s">
        <v>461</v>
      </c>
      <c r="L437" s="26" t="s">
        <v>461</v>
      </c>
    </row>
    <row r="438" hidden="1">
      <c r="K438" s="26" t="s">
        <v>461</v>
      </c>
      <c r="L438" s="26" t="s">
        <v>461</v>
      </c>
    </row>
    <row r="439" hidden="1">
      <c r="K439" s="26" t="s">
        <v>461</v>
      </c>
      <c r="L439" s="26" t="s">
        <v>461</v>
      </c>
    </row>
    <row r="440" hidden="1">
      <c r="K440" s="26" t="s">
        <v>461</v>
      </c>
      <c r="L440" s="26" t="s">
        <v>461</v>
      </c>
    </row>
    <row r="441" hidden="1">
      <c r="K441" s="26" t="s">
        <v>461</v>
      </c>
      <c r="L441" s="26" t="s">
        <v>461</v>
      </c>
    </row>
    <row r="442" hidden="1">
      <c r="K442" s="26" t="s">
        <v>461</v>
      </c>
      <c r="L442" s="26" t="s">
        <v>461</v>
      </c>
    </row>
    <row r="443" hidden="1">
      <c r="K443" s="26" t="s">
        <v>461</v>
      </c>
      <c r="L443" s="26" t="s">
        <v>461</v>
      </c>
    </row>
    <row r="444" hidden="1">
      <c r="K444" s="26" t="s">
        <v>461</v>
      </c>
      <c r="L444" s="26" t="s">
        <v>461</v>
      </c>
    </row>
    <row r="445" hidden="1">
      <c r="K445" s="26" t="s">
        <v>461</v>
      </c>
      <c r="L445" s="26" t="s">
        <v>461</v>
      </c>
    </row>
    <row r="446" hidden="1">
      <c r="K446" s="26" t="s">
        <v>461</v>
      </c>
      <c r="L446" s="26" t="s">
        <v>461</v>
      </c>
    </row>
    <row r="447" hidden="1">
      <c r="K447" s="26" t="s">
        <v>461</v>
      </c>
      <c r="L447" s="26" t="s">
        <v>461</v>
      </c>
    </row>
    <row r="448" hidden="1">
      <c r="K448" s="26" t="s">
        <v>461</v>
      </c>
      <c r="L448" s="26" t="s">
        <v>461</v>
      </c>
    </row>
    <row r="449" hidden="1">
      <c r="K449" s="26" t="s">
        <v>461</v>
      </c>
      <c r="L449" s="26" t="s">
        <v>461</v>
      </c>
    </row>
    <row r="450" hidden="1">
      <c r="K450" s="26" t="s">
        <v>461</v>
      </c>
      <c r="L450" s="26" t="s">
        <v>461</v>
      </c>
    </row>
    <row r="451" hidden="1">
      <c r="K451" s="26" t="s">
        <v>461</v>
      </c>
      <c r="L451" s="26" t="s">
        <v>461</v>
      </c>
    </row>
    <row r="452" hidden="1">
      <c r="K452" s="26" t="s">
        <v>461</v>
      </c>
      <c r="L452" s="26" t="s">
        <v>461</v>
      </c>
    </row>
    <row r="453" hidden="1">
      <c r="K453" s="26" t="s">
        <v>461</v>
      </c>
      <c r="L453" s="26" t="s">
        <v>461</v>
      </c>
    </row>
    <row r="454" hidden="1">
      <c r="K454" s="26" t="s">
        <v>461</v>
      </c>
      <c r="L454" s="26" t="s">
        <v>461</v>
      </c>
    </row>
    <row r="455" hidden="1">
      <c r="K455" s="26" t="s">
        <v>461</v>
      </c>
      <c r="L455" s="26" t="s">
        <v>461</v>
      </c>
    </row>
    <row r="456" hidden="1">
      <c r="K456" s="26" t="s">
        <v>461</v>
      </c>
      <c r="L456" s="26" t="s">
        <v>461</v>
      </c>
    </row>
    <row r="457" hidden="1">
      <c r="K457" s="26" t="s">
        <v>461</v>
      </c>
      <c r="L457" s="26" t="s">
        <v>461</v>
      </c>
    </row>
    <row r="458" hidden="1">
      <c r="K458" s="26" t="s">
        <v>461</v>
      </c>
      <c r="L458" s="26" t="s">
        <v>461</v>
      </c>
    </row>
    <row r="459" hidden="1">
      <c r="K459" s="26" t="s">
        <v>461</v>
      </c>
      <c r="L459" s="26" t="s">
        <v>461</v>
      </c>
    </row>
    <row r="460" hidden="1">
      <c r="K460" s="26" t="s">
        <v>461</v>
      </c>
      <c r="L460" s="26" t="s">
        <v>461</v>
      </c>
    </row>
    <row r="461" hidden="1">
      <c r="K461" s="26" t="s">
        <v>461</v>
      </c>
      <c r="L461" s="26" t="s">
        <v>461</v>
      </c>
    </row>
    <row r="462" hidden="1">
      <c r="K462" s="26" t="s">
        <v>461</v>
      </c>
      <c r="L462" s="26" t="s">
        <v>461</v>
      </c>
    </row>
    <row r="463" hidden="1">
      <c r="K463" s="26" t="s">
        <v>461</v>
      </c>
      <c r="L463" s="26" t="s">
        <v>461</v>
      </c>
    </row>
    <row r="464" hidden="1">
      <c r="K464" s="26" t="s">
        <v>461</v>
      </c>
      <c r="L464" s="26" t="s">
        <v>461</v>
      </c>
    </row>
    <row r="465" hidden="1">
      <c r="K465" s="26" t="s">
        <v>461</v>
      </c>
      <c r="L465" s="26" t="s">
        <v>461</v>
      </c>
    </row>
    <row r="466" hidden="1">
      <c r="K466" s="26" t="s">
        <v>461</v>
      </c>
      <c r="L466" s="26" t="s">
        <v>461</v>
      </c>
    </row>
    <row r="467" hidden="1">
      <c r="K467" s="26" t="s">
        <v>461</v>
      </c>
      <c r="L467" s="26" t="s">
        <v>461</v>
      </c>
    </row>
    <row r="468" hidden="1">
      <c r="K468" s="26" t="s">
        <v>461</v>
      </c>
      <c r="L468" s="26" t="s">
        <v>461</v>
      </c>
    </row>
    <row r="469" hidden="1">
      <c r="K469" s="26" t="s">
        <v>461</v>
      </c>
      <c r="L469" s="26" t="s">
        <v>461</v>
      </c>
    </row>
    <row r="470" hidden="1">
      <c r="K470" s="26" t="s">
        <v>461</v>
      </c>
      <c r="L470" s="26" t="s">
        <v>461</v>
      </c>
    </row>
    <row r="471" hidden="1">
      <c r="K471" s="26" t="s">
        <v>461</v>
      </c>
      <c r="L471" s="26" t="s">
        <v>461</v>
      </c>
    </row>
    <row r="472" hidden="1">
      <c r="K472" s="26" t="s">
        <v>461</v>
      </c>
      <c r="L472" s="26" t="s">
        <v>461</v>
      </c>
    </row>
    <row r="473" hidden="1">
      <c r="K473" s="26" t="s">
        <v>461</v>
      </c>
      <c r="L473" s="26" t="s">
        <v>461</v>
      </c>
    </row>
    <row r="474" hidden="1">
      <c r="K474" s="26" t="s">
        <v>461</v>
      </c>
      <c r="L474" s="26" t="s">
        <v>461</v>
      </c>
    </row>
    <row r="475" hidden="1">
      <c r="K475" s="26" t="s">
        <v>461</v>
      </c>
      <c r="L475" s="26" t="s">
        <v>461</v>
      </c>
    </row>
    <row r="476" hidden="1">
      <c r="K476" s="26" t="s">
        <v>461</v>
      </c>
      <c r="L476" s="26" t="s">
        <v>461</v>
      </c>
    </row>
    <row r="477" hidden="1">
      <c r="K477" s="26" t="s">
        <v>461</v>
      </c>
      <c r="L477" s="26" t="s">
        <v>461</v>
      </c>
    </row>
    <row r="478" hidden="1">
      <c r="K478" s="26" t="s">
        <v>461</v>
      </c>
      <c r="L478" s="26" t="s">
        <v>461</v>
      </c>
    </row>
    <row r="479" hidden="1">
      <c r="K479" s="26" t="s">
        <v>461</v>
      </c>
      <c r="L479" s="26" t="s">
        <v>461</v>
      </c>
    </row>
    <row r="480" hidden="1">
      <c r="K480" s="26" t="s">
        <v>461</v>
      </c>
      <c r="L480" s="26" t="s">
        <v>461</v>
      </c>
    </row>
    <row r="481" hidden="1">
      <c r="K481" s="26" t="s">
        <v>461</v>
      </c>
      <c r="L481" s="26" t="s">
        <v>461</v>
      </c>
    </row>
    <row r="482" hidden="1">
      <c r="K482" s="26" t="s">
        <v>461</v>
      </c>
      <c r="L482" s="26" t="s">
        <v>461</v>
      </c>
    </row>
    <row r="483" hidden="1">
      <c r="K483" s="26" t="s">
        <v>461</v>
      </c>
      <c r="L483" s="26" t="s">
        <v>461</v>
      </c>
    </row>
    <row r="484" hidden="1">
      <c r="K484" s="26" t="s">
        <v>461</v>
      </c>
      <c r="L484" s="26" t="s">
        <v>461</v>
      </c>
    </row>
    <row r="485" hidden="1">
      <c r="K485" s="26" t="s">
        <v>461</v>
      </c>
      <c r="L485" s="26" t="s">
        <v>461</v>
      </c>
    </row>
    <row r="486" hidden="1">
      <c r="K486" s="26" t="s">
        <v>461</v>
      </c>
      <c r="L486" s="26" t="s">
        <v>461</v>
      </c>
    </row>
    <row r="487" hidden="1">
      <c r="K487" s="26" t="s">
        <v>461</v>
      </c>
      <c r="L487" s="26" t="s">
        <v>461</v>
      </c>
    </row>
    <row r="488" hidden="1">
      <c r="K488" s="26" t="s">
        <v>461</v>
      </c>
      <c r="L488" s="26" t="s">
        <v>461</v>
      </c>
    </row>
    <row r="489" hidden="1">
      <c r="K489" s="26" t="s">
        <v>461</v>
      </c>
      <c r="L489" s="26" t="s">
        <v>461</v>
      </c>
    </row>
    <row r="490" hidden="1">
      <c r="K490" s="26" t="s">
        <v>461</v>
      </c>
      <c r="L490" s="26" t="s">
        <v>461</v>
      </c>
    </row>
    <row r="491" hidden="1">
      <c r="K491" s="26" t="s">
        <v>461</v>
      </c>
      <c r="L491" s="26" t="s">
        <v>461</v>
      </c>
    </row>
    <row r="492" hidden="1">
      <c r="K492" s="26" t="s">
        <v>461</v>
      </c>
      <c r="L492" s="26" t="s">
        <v>461</v>
      </c>
    </row>
    <row r="493" hidden="1">
      <c r="K493" s="26" t="s">
        <v>461</v>
      </c>
      <c r="L493" s="26" t="s">
        <v>461</v>
      </c>
    </row>
    <row r="494" hidden="1">
      <c r="K494" s="26" t="s">
        <v>461</v>
      </c>
      <c r="L494" s="26" t="s">
        <v>461</v>
      </c>
    </row>
    <row r="495" hidden="1">
      <c r="K495" s="26" t="s">
        <v>461</v>
      </c>
      <c r="L495" s="26" t="s">
        <v>461</v>
      </c>
    </row>
    <row r="496" hidden="1">
      <c r="K496" s="26" t="s">
        <v>461</v>
      </c>
      <c r="L496" s="26" t="s">
        <v>461</v>
      </c>
    </row>
    <row r="497" hidden="1">
      <c r="K497" s="26" t="s">
        <v>461</v>
      </c>
      <c r="L497" s="26" t="s">
        <v>461</v>
      </c>
    </row>
    <row r="498" hidden="1">
      <c r="K498" s="26" t="s">
        <v>461</v>
      </c>
      <c r="L498" s="26" t="s">
        <v>461</v>
      </c>
    </row>
    <row r="499" hidden="1">
      <c r="K499" s="26" t="s">
        <v>461</v>
      </c>
      <c r="L499" s="26" t="s">
        <v>461</v>
      </c>
    </row>
    <row r="500" hidden="1">
      <c r="K500" s="26" t="s">
        <v>461</v>
      </c>
      <c r="L500" s="26" t="s">
        <v>461</v>
      </c>
    </row>
    <row r="501" hidden="1">
      <c r="K501" s="26" t="s">
        <v>461</v>
      </c>
      <c r="L501" s="26" t="s">
        <v>461</v>
      </c>
    </row>
    <row r="502" hidden="1">
      <c r="K502" s="26" t="s">
        <v>461</v>
      </c>
      <c r="L502" s="26" t="s">
        <v>461</v>
      </c>
    </row>
    <row r="503" hidden="1">
      <c r="K503" s="26" t="s">
        <v>461</v>
      </c>
      <c r="L503" s="26" t="s">
        <v>461</v>
      </c>
    </row>
    <row r="504" hidden="1">
      <c r="K504" s="26" t="s">
        <v>461</v>
      </c>
      <c r="L504" s="26" t="s">
        <v>461</v>
      </c>
    </row>
    <row r="505" hidden="1">
      <c r="K505" s="26" t="s">
        <v>461</v>
      </c>
      <c r="L505" s="26" t="s">
        <v>461</v>
      </c>
    </row>
    <row r="506" hidden="1">
      <c r="K506" s="26" t="s">
        <v>461</v>
      </c>
      <c r="L506" s="26" t="s">
        <v>461</v>
      </c>
    </row>
    <row r="507" hidden="1">
      <c r="K507" s="26" t="s">
        <v>461</v>
      </c>
      <c r="L507" s="26" t="s">
        <v>461</v>
      </c>
    </row>
    <row r="508" hidden="1">
      <c r="K508" s="26" t="s">
        <v>461</v>
      </c>
      <c r="L508" s="26" t="s">
        <v>461</v>
      </c>
    </row>
    <row r="509" hidden="1">
      <c r="K509" s="26" t="s">
        <v>461</v>
      </c>
      <c r="L509" s="26" t="s">
        <v>461</v>
      </c>
    </row>
    <row r="510" hidden="1">
      <c r="K510" s="26" t="s">
        <v>461</v>
      </c>
      <c r="L510" s="26" t="s">
        <v>461</v>
      </c>
    </row>
    <row r="511" hidden="1">
      <c r="K511" s="26" t="s">
        <v>461</v>
      </c>
      <c r="L511" s="26" t="s">
        <v>461</v>
      </c>
    </row>
    <row r="512" hidden="1">
      <c r="K512" s="26" t="s">
        <v>461</v>
      </c>
      <c r="L512" s="26" t="s">
        <v>461</v>
      </c>
    </row>
    <row r="513" hidden="1">
      <c r="K513" s="26" t="s">
        <v>461</v>
      </c>
      <c r="L513" s="26" t="s">
        <v>461</v>
      </c>
    </row>
    <row r="514" hidden="1">
      <c r="K514" s="26" t="s">
        <v>461</v>
      </c>
      <c r="L514" s="26" t="s">
        <v>461</v>
      </c>
    </row>
    <row r="515" hidden="1">
      <c r="K515" s="26" t="s">
        <v>461</v>
      </c>
      <c r="L515" s="26" t="s">
        <v>461</v>
      </c>
    </row>
    <row r="516" hidden="1">
      <c r="K516" s="26" t="s">
        <v>461</v>
      </c>
      <c r="L516" s="26" t="s">
        <v>461</v>
      </c>
    </row>
    <row r="517" hidden="1">
      <c r="K517" s="26" t="s">
        <v>461</v>
      </c>
      <c r="L517" s="26" t="s">
        <v>461</v>
      </c>
    </row>
    <row r="518" hidden="1">
      <c r="K518" s="26" t="s">
        <v>461</v>
      </c>
      <c r="L518" s="26" t="s">
        <v>461</v>
      </c>
    </row>
    <row r="519" hidden="1">
      <c r="K519" s="26" t="s">
        <v>461</v>
      </c>
      <c r="L519" s="26" t="s">
        <v>461</v>
      </c>
    </row>
    <row r="520" hidden="1">
      <c r="K520" s="26" t="s">
        <v>461</v>
      </c>
      <c r="L520" s="26" t="s">
        <v>461</v>
      </c>
    </row>
    <row r="521" hidden="1">
      <c r="K521" s="26" t="s">
        <v>461</v>
      </c>
      <c r="L521" s="26" t="s">
        <v>461</v>
      </c>
    </row>
    <row r="522" hidden="1">
      <c r="K522" s="26" t="s">
        <v>461</v>
      </c>
      <c r="L522" s="26" t="s">
        <v>461</v>
      </c>
    </row>
    <row r="523" hidden="1">
      <c r="K523" s="26" t="s">
        <v>461</v>
      </c>
      <c r="L523" s="26" t="s">
        <v>461</v>
      </c>
    </row>
    <row r="524" hidden="1">
      <c r="K524" s="26" t="s">
        <v>461</v>
      </c>
      <c r="L524" s="26" t="s">
        <v>461</v>
      </c>
    </row>
    <row r="525" hidden="1">
      <c r="K525" s="26" t="s">
        <v>461</v>
      </c>
      <c r="L525" s="26" t="s">
        <v>461</v>
      </c>
    </row>
    <row r="526" hidden="1">
      <c r="K526" s="26" t="s">
        <v>461</v>
      </c>
      <c r="L526" s="26" t="s">
        <v>461</v>
      </c>
    </row>
    <row r="527" hidden="1">
      <c r="K527" s="26" t="s">
        <v>461</v>
      </c>
      <c r="L527" s="26" t="s">
        <v>461</v>
      </c>
    </row>
    <row r="528" hidden="1">
      <c r="K528" s="26" t="s">
        <v>461</v>
      </c>
      <c r="L528" s="26" t="s">
        <v>461</v>
      </c>
    </row>
    <row r="529" hidden="1">
      <c r="K529" s="26" t="s">
        <v>461</v>
      </c>
      <c r="L529" s="26" t="s">
        <v>461</v>
      </c>
    </row>
    <row r="530" hidden="1">
      <c r="K530" s="26" t="s">
        <v>461</v>
      </c>
      <c r="L530" s="26" t="s">
        <v>461</v>
      </c>
    </row>
    <row r="531" hidden="1">
      <c r="K531" s="26" t="s">
        <v>461</v>
      </c>
      <c r="L531" s="26" t="s">
        <v>461</v>
      </c>
    </row>
    <row r="532" hidden="1">
      <c r="K532" s="26" t="s">
        <v>461</v>
      </c>
      <c r="L532" s="26" t="s">
        <v>461</v>
      </c>
    </row>
    <row r="533" hidden="1">
      <c r="K533" s="26" t="s">
        <v>461</v>
      </c>
      <c r="L533" s="26" t="s">
        <v>461</v>
      </c>
    </row>
    <row r="534" hidden="1">
      <c r="K534" s="26" t="s">
        <v>461</v>
      </c>
      <c r="L534" s="26" t="s">
        <v>461</v>
      </c>
    </row>
    <row r="535" hidden="1">
      <c r="K535" s="26" t="s">
        <v>461</v>
      </c>
      <c r="L535" s="26" t="s">
        <v>461</v>
      </c>
    </row>
    <row r="536" hidden="1">
      <c r="K536" s="26" t="s">
        <v>461</v>
      </c>
      <c r="L536" s="26" t="s">
        <v>461</v>
      </c>
    </row>
    <row r="537" hidden="1">
      <c r="K537" s="26" t="s">
        <v>461</v>
      </c>
      <c r="L537" s="26" t="s">
        <v>461</v>
      </c>
    </row>
    <row r="538" hidden="1">
      <c r="K538" s="26" t="s">
        <v>461</v>
      </c>
      <c r="L538" s="26" t="s">
        <v>461</v>
      </c>
    </row>
    <row r="539" hidden="1">
      <c r="K539" s="26" t="s">
        <v>461</v>
      </c>
      <c r="L539" s="26" t="s">
        <v>461</v>
      </c>
    </row>
    <row r="540" hidden="1">
      <c r="K540" s="26" t="s">
        <v>461</v>
      </c>
      <c r="L540" s="26" t="s">
        <v>461</v>
      </c>
    </row>
    <row r="541" hidden="1">
      <c r="K541" s="26" t="s">
        <v>461</v>
      </c>
      <c r="L541" s="26" t="s">
        <v>461</v>
      </c>
    </row>
    <row r="542" hidden="1">
      <c r="K542" s="26" t="s">
        <v>461</v>
      </c>
      <c r="L542" s="26" t="s">
        <v>461</v>
      </c>
    </row>
    <row r="543" hidden="1">
      <c r="K543" s="26" t="s">
        <v>461</v>
      </c>
      <c r="L543" s="26" t="s">
        <v>461</v>
      </c>
    </row>
    <row r="544" hidden="1">
      <c r="K544" s="26" t="s">
        <v>461</v>
      </c>
      <c r="L544" s="26" t="s">
        <v>461</v>
      </c>
    </row>
    <row r="545" hidden="1">
      <c r="K545" s="26" t="s">
        <v>461</v>
      </c>
      <c r="L545" s="26" t="s">
        <v>461</v>
      </c>
    </row>
    <row r="546" hidden="1">
      <c r="K546" s="26" t="s">
        <v>461</v>
      </c>
      <c r="L546" s="26" t="s">
        <v>461</v>
      </c>
    </row>
    <row r="547" hidden="1">
      <c r="K547" s="26" t="s">
        <v>461</v>
      </c>
      <c r="L547" s="26" t="s">
        <v>461</v>
      </c>
    </row>
    <row r="548" hidden="1">
      <c r="K548" s="26" t="s">
        <v>461</v>
      </c>
      <c r="L548" s="26" t="s">
        <v>461</v>
      </c>
    </row>
    <row r="549" hidden="1">
      <c r="K549" s="26" t="s">
        <v>461</v>
      </c>
      <c r="L549" s="26" t="s">
        <v>461</v>
      </c>
    </row>
    <row r="550" hidden="1">
      <c r="K550" s="26" t="s">
        <v>461</v>
      </c>
      <c r="L550" s="26" t="s">
        <v>461</v>
      </c>
    </row>
    <row r="551" hidden="1">
      <c r="K551" s="26" t="s">
        <v>461</v>
      </c>
      <c r="L551" s="26" t="s">
        <v>461</v>
      </c>
    </row>
    <row r="552" hidden="1">
      <c r="K552" s="26" t="s">
        <v>461</v>
      </c>
      <c r="L552" s="26" t="s">
        <v>461</v>
      </c>
    </row>
    <row r="553" hidden="1">
      <c r="K553" s="26" t="s">
        <v>461</v>
      </c>
      <c r="L553" s="26" t="s">
        <v>461</v>
      </c>
    </row>
    <row r="554" hidden="1">
      <c r="K554" s="26" t="s">
        <v>461</v>
      </c>
      <c r="L554" s="26" t="s">
        <v>461</v>
      </c>
    </row>
    <row r="555" hidden="1">
      <c r="K555" s="26" t="s">
        <v>461</v>
      </c>
      <c r="L555" s="26" t="s">
        <v>461</v>
      </c>
    </row>
    <row r="556" hidden="1">
      <c r="K556" s="26" t="s">
        <v>461</v>
      </c>
      <c r="L556" s="26" t="s">
        <v>461</v>
      </c>
    </row>
    <row r="557" hidden="1">
      <c r="K557" s="26" t="s">
        <v>461</v>
      </c>
      <c r="L557" s="26" t="s">
        <v>461</v>
      </c>
    </row>
    <row r="558" hidden="1">
      <c r="K558" s="26" t="s">
        <v>461</v>
      </c>
      <c r="L558" s="26" t="s">
        <v>461</v>
      </c>
    </row>
    <row r="559" hidden="1">
      <c r="K559" s="26" t="s">
        <v>461</v>
      </c>
      <c r="L559" s="26" t="s">
        <v>461</v>
      </c>
    </row>
    <row r="560" hidden="1">
      <c r="K560" s="26" t="s">
        <v>461</v>
      </c>
      <c r="L560" s="26" t="s">
        <v>461</v>
      </c>
    </row>
    <row r="561" hidden="1">
      <c r="K561" s="26" t="s">
        <v>461</v>
      </c>
      <c r="L561" s="26" t="s">
        <v>461</v>
      </c>
    </row>
    <row r="562" hidden="1">
      <c r="K562" s="26" t="s">
        <v>461</v>
      </c>
      <c r="L562" s="26" t="s">
        <v>461</v>
      </c>
    </row>
    <row r="563" hidden="1">
      <c r="K563" s="26" t="s">
        <v>461</v>
      </c>
      <c r="L563" s="26" t="s">
        <v>461</v>
      </c>
    </row>
    <row r="564" hidden="1">
      <c r="K564" s="26" t="s">
        <v>461</v>
      </c>
      <c r="L564" s="26" t="s">
        <v>461</v>
      </c>
    </row>
    <row r="565" hidden="1">
      <c r="K565" s="26" t="s">
        <v>461</v>
      </c>
      <c r="L565" s="26" t="s">
        <v>461</v>
      </c>
    </row>
    <row r="566" hidden="1">
      <c r="K566" s="26" t="s">
        <v>461</v>
      </c>
      <c r="L566" s="26" t="s">
        <v>461</v>
      </c>
    </row>
    <row r="567" hidden="1">
      <c r="K567" s="26" t="s">
        <v>461</v>
      </c>
      <c r="L567" s="26" t="s">
        <v>461</v>
      </c>
    </row>
    <row r="568" hidden="1">
      <c r="K568" s="26" t="s">
        <v>461</v>
      </c>
      <c r="L568" s="26" t="s">
        <v>461</v>
      </c>
    </row>
    <row r="569" hidden="1">
      <c r="K569" s="26" t="s">
        <v>461</v>
      </c>
      <c r="L569" s="26" t="s">
        <v>461</v>
      </c>
    </row>
    <row r="570" hidden="1">
      <c r="K570" s="26" t="s">
        <v>461</v>
      </c>
      <c r="L570" s="26" t="s">
        <v>461</v>
      </c>
    </row>
    <row r="571" hidden="1">
      <c r="K571" s="26" t="s">
        <v>461</v>
      </c>
      <c r="L571" s="26" t="s">
        <v>461</v>
      </c>
    </row>
    <row r="572" hidden="1">
      <c r="K572" s="26" t="s">
        <v>461</v>
      </c>
      <c r="L572" s="26" t="s">
        <v>461</v>
      </c>
    </row>
    <row r="573" hidden="1">
      <c r="K573" s="26" t="s">
        <v>461</v>
      </c>
      <c r="L573" s="26" t="s">
        <v>461</v>
      </c>
    </row>
    <row r="574" hidden="1">
      <c r="K574" s="26" t="s">
        <v>461</v>
      </c>
      <c r="L574" s="26" t="s">
        <v>461</v>
      </c>
    </row>
    <row r="575" hidden="1">
      <c r="K575" s="26" t="s">
        <v>461</v>
      </c>
      <c r="L575" s="26" t="s">
        <v>461</v>
      </c>
    </row>
    <row r="576" hidden="1">
      <c r="K576" s="26" t="s">
        <v>461</v>
      </c>
      <c r="L576" s="26" t="s">
        <v>461</v>
      </c>
    </row>
    <row r="577" hidden="1">
      <c r="K577" s="26" t="s">
        <v>461</v>
      </c>
      <c r="L577" s="26" t="s">
        <v>461</v>
      </c>
    </row>
    <row r="578" hidden="1">
      <c r="K578" s="26" t="s">
        <v>461</v>
      </c>
      <c r="L578" s="26" t="s">
        <v>461</v>
      </c>
    </row>
    <row r="579" hidden="1">
      <c r="K579" s="26" t="s">
        <v>461</v>
      </c>
      <c r="L579" s="26" t="s">
        <v>461</v>
      </c>
    </row>
    <row r="580" hidden="1">
      <c r="K580" s="26" t="s">
        <v>461</v>
      </c>
      <c r="L580" s="26" t="s">
        <v>461</v>
      </c>
    </row>
    <row r="581" hidden="1">
      <c r="K581" s="26" t="s">
        <v>461</v>
      </c>
      <c r="L581" s="26" t="s">
        <v>461</v>
      </c>
    </row>
    <row r="582" hidden="1">
      <c r="K582" s="26" t="s">
        <v>461</v>
      </c>
      <c r="L582" s="26" t="s">
        <v>461</v>
      </c>
    </row>
    <row r="583" hidden="1">
      <c r="K583" s="26" t="s">
        <v>461</v>
      </c>
      <c r="L583" s="26" t="s">
        <v>461</v>
      </c>
    </row>
    <row r="584" hidden="1">
      <c r="K584" s="26" t="s">
        <v>461</v>
      </c>
      <c r="L584" s="26" t="s">
        <v>461</v>
      </c>
    </row>
    <row r="585" hidden="1">
      <c r="K585" s="26" t="s">
        <v>461</v>
      </c>
      <c r="L585" s="26" t="s">
        <v>461</v>
      </c>
    </row>
    <row r="586" hidden="1">
      <c r="K586" s="26" t="s">
        <v>461</v>
      </c>
      <c r="L586" s="26" t="s">
        <v>461</v>
      </c>
    </row>
    <row r="587" hidden="1">
      <c r="K587" s="26" t="s">
        <v>461</v>
      </c>
      <c r="L587" s="26" t="s">
        <v>461</v>
      </c>
    </row>
    <row r="588" hidden="1">
      <c r="K588" s="26" t="s">
        <v>461</v>
      </c>
      <c r="L588" s="26" t="s">
        <v>461</v>
      </c>
    </row>
    <row r="589" hidden="1">
      <c r="K589" s="26" t="s">
        <v>461</v>
      </c>
      <c r="L589" s="26" t="s">
        <v>461</v>
      </c>
    </row>
    <row r="590" hidden="1">
      <c r="K590" s="26" t="s">
        <v>461</v>
      </c>
      <c r="L590" s="26" t="s">
        <v>461</v>
      </c>
    </row>
    <row r="591" hidden="1">
      <c r="K591" s="26" t="s">
        <v>461</v>
      </c>
      <c r="L591" s="26" t="s">
        <v>461</v>
      </c>
    </row>
    <row r="592" hidden="1">
      <c r="K592" s="26" t="s">
        <v>461</v>
      </c>
      <c r="L592" s="26" t="s">
        <v>461</v>
      </c>
    </row>
    <row r="593" hidden="1">
      <c r="K593" s="26" t="s">
        <v>461</v>
      </c>
      <c r="L593" s="26" t="s">
        <v>461</v>
      </c>
    </row>
    <row r="594" hidden="1">
      <c r="K594" s="26" t="s">
        <v>461</v>
      </c>
      <c r="L594" s="26" t="s">
        <v>461</v>
      </c>
    </row>
    <row r="595" hidden="1">
      <c r="K595" s="26" t="s">
        <v>461</v>
      </c>
      <c r="L595" s="26" t="s">
        <v>461</v>
      </c>
    </row>
    <row r="596" hidden="1">
      <c r="K596" s="26" t="s">
        <v>461</v>
      </c>
      <c r="L596" s="26" t="s">
        <v>461</v>
      </c>
    </row>
    <row r="597" hidden="1">
      <c r="K597" s="26" t="s">
        <v>461</v>
      </c>
      <c r="L597" s="26" t="s">
        <v>461</v>
      </c>
    </row>
    <row r="598" hidden="1">
      <c r="K598" s="26" t="s">
        <v>461</v>
      </c>
      <c r="L598" s="26" t="s">
        <v>461</v>
      </c>
    </row>
    <row r="599" hidden="1">
      <c r="K599" s="26" t="s">
        <v>461</v>
      </c>
      <c r="L599" s="26" t="s">
        <v>461</v>
      </c>
    </row>
    <row r="600" hidden="1">
      <c r="K600" s="26" t="s">
        <v>461</v>
      </c>
      <c r="L600" s="26" t="s">
        <v>461</v>
      </c>
    </row>
    <row r="601" hidden="1">
      <c r="K601" s="26" t="s">
        <v>461</v>
      </c>
      <c r="L601" s="26" t="s">
        <v>461</v>
      </c>
    </row>
    <row r="602" hidden="1">
      <c r="K602" s="26" t="s">
        <v>461</v>
      </c>
      <c r="L602" s="26" t="s">
        <v>461</v>
      </c>
    </row>
    <row r="603" hidden="1">
      <c r="K603" s="26" t="s">
        <v>461</v>
      </c>
      <c r="L603" s="26" t="s">
        <v>461</v>
      </c>
    </row>
    <row r="604" hidden="1">
      <c r="K604" s="26" t="s">
        <v>461</v>
      </c>
      <c r="L604" s="26" t="s">
        <v>461</v>
      </c>
    </row>
    <row r="605" hidden="1">
      <c r="K605" s="26" t="s">
        <v>461</v>
      </c>
      <c r="L605" s="26" t="s">
        <v>461</v>
      </c>
    </row>
    <row r="606" hidden="1">
      <c r="K606" s="26" t="s">
        <v>461</v>
      </c>
      <c r="L606" s="26" t="s">
        <v>461</v>
      </c>
    </row>
    <row r="607" hidden="1">
      <c r="K607" s="26" t="s">
        <v>461</v>
      </c>
      <c r="L607" s="26" t="s">
        <v>461</v>
      </c>
    </row>
    <row r="608" hidden="1">
      <c r="K608" s="26" t="s">
        <v>461</v>
      </c>
      <c r="L608" s="26" t="s">
        <v>461</v>
      </c>
    </row>
    <row r="609" hidden="1">
      <c r="K609" s="26" t="s">
        <v>461</v>
      </c>
      <c r="L609" s="26" t="s">
        <v>461</v>
      </c>
    </row>
    <row r="610" hidden="1">
      <c r="K610" s="26" t="s">
        <v>461</v>
      </c>
      <c r="L610" s="26" t="s">
        <v>461</v>
      </c>
    </row>
    <row r="611" hidden="1">
      <c r="K611" s="26" t="s">
        <v>461</v>
      </c>
      <c r="L611" s="26" t="s">
        <v>461</v>
      </c>
    </row>
    <row r="612" hidden="1">
      <c r="K612" s="26" t="s">
        <v>461</v>
      </c>
      <c r="L612" s="26" t="s">
        <v>461</v>
      </c>
    </row>
    <row r="613" hidden="1">
      <c r="K613" s="26" t="s">
        <v>461</v>
      </c>
      <c r="L613" s="26" t="s">
        <v>461</v>
      </c>
    </row>
    <row r="614" hidden="1">
      <c r="K614" s="26" t="s">
        <v>461</v>
      </c>
      <c r="L614" s="26" t="s">
        <v>461</v>
      </c>
    </row>
    <row r="615" hidden="1">
      <c r="K615" s="26" t="s">
        <v>461</v>
      </c>
      <c r="L615" s="26" t="s">
        <v>461</v>
      </c>
    </row>
    <row r="616" hidden="1">
      <c r="K616" s="26" t="s">
        <v>461</v>
      </c>
      <c r="L616" s="26" t="s">
        <v>461</v>
      </c>
    </row>
    <row r="617" hidden="1">
      <c r="K617" s="26" t="s">
        <v>461</v>
      </c>
      <c r="L617" s="26" t="s">
        <v>461</v>
      </c>
    </row>
    <row r="618" hidden="1">
      <c r="K618" s="26" t="s">
        <v>461</v>
      </c>
      <c r="L618" s="26" t="s">
        <v>461</v>
      </c>
    </row>
    <row r="619" hidden="1">
      <c r="K619" s="26" t="s">
        <v>461</v>
      </c>
      <c r="L619" s="26" t="s">
        <v>461</v>
      </c>
    </row>
    <row r="620" hidden="1">
      <c r="K620" s="26" t="s">
        <v>461</v>
      </c>
      <c r="L620" s="26" t="s">
        <v>461</v>
      </c>
    </row>
    <row r="621" hidden="1">
      <c r="K621" s="26" t="s">
        <v>461</v>
      </c>
      <c r="L621" s="26" t="s">
        <v>461</v>
      </c>
    </row>
    <row r="622" hidden="1">
      <c r="K622" s="26" t="s">
        <v>461</v>
      </c>
      <c r="L622" s="26" t="s">
        <v>461</v>
      </c>
    </row>
    <row r="623" hidden="1">
      <c r="K623" s="26" t="s">
        <v>461</v>
      </c>
      <c r="L623" s="26" t="s">
        <v>461</v>
      </c>
    </row>
    <row r="624" hidden="1">
      <c r="K624" s="26" t="s">
        <v>461</v>
      </c>
      <c r="L624" s="26" t="s">
        <v>461</v>
      </c>
    </row>
    <row r="625" hidden="1">
      <c r="K625" s="26" t="s">
        <v>461</v>
      </c>
      <c r="L625" s="26" t="s">
        <v>461</v>
      </c>
    </row>
    <row r="626" hidden="1">
      <c r="K626" s="26" t="s">
        <v>461</v>
      </c>
      <c r="L626" s="26" t="s">
        <v>461</v>
      </c>
    </row>
    <row r="627" hidden="1">
      <c r="K627" s="26" t="s">
        <v>461</v>
      </c>
      <c r="L627" s="26" t="s">
        <v>461</v>
      </c>
    </row>
    <row r="628" hidden="1">
      <c r="K628" s="26" t="s">
        <v>461</v>
      </c>
      <c r="L628" s="26" t="s">
        <v>461</v>
      </c>
    </row>
    <row r="629" hidden="1">
      <c r="K629" s="26" t="s">
        <v>461</v>
      </c>
      <c r="L629" s="26" t="s">
        <v>461</v>
      </c>
    </row>
    <row r="630" hidden="1">
      <c r="K630" s="26" t="s">
        <v>461</v>
      </c>
      <c r="L630" s="26" t="s">
        <v>461</v>
      </c>
    </row>
    <row r="631" hidden="1">
      <c r="K631" s="26" t="s">
        <v>461</v>
      </c>
      <c r="L631" s="26" t="s">
        <v>461</v>
      </c>
    </row>
    <row r="632" hidden="1">
      <c r="K632" s="26" t="s">
        <v>461</v>
      </c>
      <c r="L632" s="26" t="s">
        <v>461</v>
      </c>
    </row>
    <row r="633" hidden="1">
      <c r="K633" s="26" t="s">
        <v>461</v>
      </c>
      <c r="L633" s="26" t="s">
        <v>461</v>
      </c>
    </row>
    <row r="634" hidden="1">
      <c r="K634" s="26" t="s">
        <v>461</v>
      </c>
      <c r="L634" s="26" t="s">
        <v>461</v>
      </c>
    </row>
    <row r="635" hidden="1">
      <c r="K635" s="26" t="s">
        <v>461</v>
      </c>
      <c r="L635" s="26" t="s">
        <v>461</v>
      </c>
    </row>
    <row r="636" hidden="1">
      <c r="K636" s="26" t="s">
        <v>461</v>
      </c>
      <c r="L636" s="26" t="s">
        <v>461</v>
      </c>
    </row>
    <row r="637" hidden="1">
      <c r="K637" s="26" t="s">
        <v>461</v>
      </c>
      <c r="L637" s="26" t="s">
        <v>461</v>
      </c>
    </row>
    <row r="638" hidden="1">
      <c r="K638" s="26" t="s">
        <v>461</v>
      </c>
      <c r="L638" s="26" t="s">
        <v>461</v>
      </c>
    </row>
    <row r="639" hidden="1">
      <c r="K639" s="26" t="s">
        <v>461</v>
      </c>
      <c r="L639" s="26" t="s">
        <v>461</v>
      </c>
    </row>
    <row r="640" hidden="1">
      <c r="K640" s="26" t="s">
        <v>461</v>
      </c>
      <c r="L640" s="26" t="s">
        <v>461</v>
      </c>
    </row>
    <row r="641" hidden="1">
      <c r="K641" s="26" t="s">
        <v>461</v>
      </c>
      <c r="L641" s="26" t="s">
        <v>461</v>
      </c>
    </row>
    <row r="642" hidden="1">
      <c r="K642" s="26" t="s">
        <v>461</v>
      </c>
      <c r="L642" s="26" t="s">
        <v>461</v>
      </c>
    </row>
    <row r="643" hidden="1">
      <c r="K643" s="26" t="s">
        <v>461</v>
      </c>
      <c r="L643" s="26" t="s">
        <v>461</v>
      </c>
    </row>
    <row r="644" hidden="1">
      <c r="K644" s="26" t="s">
        <v>461</v>
      </c>
      <c r="L644" s="26" t="s">
        <v>461</v>
      </c>
    </row>
    <row r="645" hidden="1">
      <c r="K645" s="26" t="s">
        <v>461</v>
      </c>
      <c r="L645" s="26" t="s">
        <v>461</v>
      </c>
    </row>
    <row r="646" hidden="1">
      <c r="K646" s="26" t="s">
        <v>461</v>
      </c>
      <c r="L646" s="26" t="s">
        <v>461</v>
      </c>
    </row>
    <row r="647" hidden="1">
      <c r="K647" s="26" t="s">
        <v>461</v>
      </c>
      <c r="L647" s="26" t="s">
        <v>461</v>
      </c>
    </row>
    <row r="648" hidden="1">
      <c r="K648" s="26" t="s">
        <v>461</v>
      </c>
      <c r="L648" s="26" t="s">
        <v>461</v>
      </c>
    </row>
    <row r="649" hidden="1">
      <c r="K649" s="26" t="s">
        <v>461</v>
      </c>
      <c r="L649" s="26" t="s">
        <v>461</v>
      </c>
    </row>
    <row r="650" hidden="1">
      <c r="K650" s="26" t="s">
        <v>461</v>
      </c>
      <c r="L650" s="26" t="s">
        <v>461</v>
      </c>
    </row>
    <row r="651" hidden="1">
      <c r="K651" s="26" t="s">
        <v>461</v>
      </c>
      <c r="L651" s="26" t="s">
        <v>461</v>
      </c>
    </row>
    <row r="652" hidden="1">
      <c r="K652" s="26" t="s">
        <v>461</v>
      </c>
      <c r="L652" s="26" t="s">
        <v>461</v>
      </c>
    </row>
    <row r="653" hidden="1">
      <c r="K653" s="26" t="s">
        <v>461</v>
      </c>
      <c r="L653" s="26" t="s">
        <v>461</v>
      </c>
    </row>
    <row r="654" hidden="1">
      <c r="K654" s="26" t="s">
        <v>461</v>
      </c>
      <c r="L654" s="26" t="s">
        <v>461</v>
      </c>
    </row>
    <row r="655" hidden="1">
      <c r="K655" s="26" t="s">
        <v>461</v>
      </c>
      <c r="L655" s="26" t="s">
        <v>461</v>
      </c>
    </row>
    <row r="656" hidden="1">
      <c r="K656" s="26" t="s">
        <v>461</v>
      </c>
      <c r="L656" s="26" t="s">
        <v>461</v>
      </c>
    </row>
    <row r="657" hidden="1">
      <c r="K657" s="26" t="s">
        <v>461</v>
      </c>
      <c r="L657" s="26" t="s">
        <v>461</v>
      </c>
    </row>
    <row r="658" hidden="1">
      <c r="K658" s="26" t="s">
        <v>461</v>
      </c>
      <c r="L658" s="26" t="s">
        <v>461</v>
      </c>
    </row>
    <row r="659" hidden="1">
      <c r="K659" s="26" t="s">
        <v>461</v>
      </c>
      <c r="L659" s="26" t="s">
        <v>461</v>
      </c>
    </row>
    <row r="660" hidden="1">
      <c r="K660" s="26" t="s">
        <v>461</v>
      </c>
      <c r="L660" s="26" t="s">
        <v>461</v>
      </c>
    </row>
    <row r="661" hidden="1">
      <c r="K661" s="26" t="s">
        <v>461</v>
      </c>
      <c r="L661" s="26" t="s">
        <v>461</v>
      </c>
    </row>
    <row r="662" hidden="1">
      <c r="K662" s="26" t="s">
        <v>461</v>
      </c>
      <c r="L662" s="26" t="s">
        <v>461</v>
      </c>
    </row>
    <row r="663" hidden="1">
      <c r="K663" s="26" t="s">
        <v>461</v>
      </c>
      <c r="L663" s="26" t="s">
        <v>461</v>
      </c>
    </row>
    <row r="664" hidden="1">
      <c r="K664" s="26" t="s">
        <v>461</v>
      </c>
      <c r="L664" s="26" t="s">
        <v>461</v>
      </c>
    </row>
    <row r="665" hidden="1">
      <c r="K665" s="26" t="s">
        <v>461</v>
      </c>
      <c r="L665" s="26" t="s">
        <v>461</v>
      </c>
    </row>
    <row r="666" hidden="1">
      <c r="K666" s="26" t="s">
        <v>461</v>
      </c>
      <c r="L666" s="26" t="s">
        <v>461</v>
      </c>
    </row>
    <row r="667" hidden="1">
      <c r="K667" s="26" t="s">
        <v>461</v>
      </c>
      <c r="L667" s="26" t="s">
        <v>461</v>
      </c>
    </row>
    <row r="668" hidden="1">
      <c r="K668" s="26" t="s">
        <v>461</v>
      </c>
      <c r="L668" s="26" t="s">
        <v>461</v>
      </c>
    </row>
    <row r="669" hidden="1">
      <c r="K669" s="26" t="s">
        <v>461</v>
      </c>
      <c r="L669" s="26" t="s">
        <v>461</v>
      </c>
    </row>
    <row r="670" hidden="1">
      <c r="K670" s="26" t="s">
        <v>461</v>
      </c>
      <c r="L670" s="26" t="s">
        <v>461</v>
      </c>
    </row>
    <row r="671" hidden="1">
      <c r="K671" s="26" t="s">
        <v>461</v>
      </c>
      <c r="L671" s="26" t="s">
        <v>461</v>
      </c>
    </row>
    <row r="672" hidden="1">
      <c r="K672" s="26" t="s">
        <v>461</v>
      </c>
      <c r="L672" s="26" t="s">
        <v>461</v>
      </c>
    </row>
    <row r="673" hidden="1">
      <c r="K673" s="26" t="s">
        <v>461</v>
      </c>
      <c r="L673" s="26" t="s">
        <v>461</v>
      </c>
    </row>
    <row r="674" hidden="1">
      <c r="K674" s="26" t="s">
        <v>461</v>
      </c>
      <c r="L674" s="26" t="s">
        <v>461</v>
      </c>
    </row>
    <row r="675" hidden="1">
      <c r="K675" s="26" t="s">
        <v>461</v>
      </c>
      <c r="L675" s="26" t="s">
        <v>461</v>
      </c>
    </row>
    <row r="676" hidden="1">
      <c r="K676" s="26" t="s">
        <v>461</v>
      </c>
      <c r="L676" s="26" t="s">
        <v>461</v>
      </c>
    </row>
    <row r="677" hidden="1">
      <c r="K677" s="26" t="s">
        <v>461</v>
      </c>
      <c r="L677" s="26" t="s">
        <v>461</v>
      </c>
    </row>
    <row r="678" hidden="1">
      <c r="K678" s="26" t="s">
        <v>461</v>
      </c>
      <c r="L678" s="26" t="s">
        <v>461</v>
      </c>
    </row>
    <row r="679" hidden="1">
      <c r="K679" s="26" t="s">
        <v>461</v>
      </c>
      <c r="L679" s="26" t="s">
        <v>461</v>
      </c>
    </row>
    <row r="680" hidden="1">
      <c r="K680" s="26" t="s">
        <v>461</v>
      </c>
      <c r="L680" s="26" t="s">
        <v>461</v>
      </c>
    </row>
    <row r="681" hidden="1">
      <c r="K681" s="26" t="s">
        <v>461</v>
      </c>
      <c r="L681" s="26" t="s">
        <v>461</v>
      </c>
    </row>
    <row r="682" hidden="1">
      <c r="K682" s="26" t="s">
        <v>461</v>
      </c>
      <c r="L682" s="26" t="s">
        <v>461</v>
      </c>
    </row>
    <row r="683" hidden="1">
      <c r="K683" s="26" t="s">
        <v>461</v>
      </c>
      <c r="L683" s="26" t="s">
        <v>461</v>
      </c>
    </row>
    <row r="684" hidden="1">
      <c r="K684" s="26" t="s">
        <v>461</v>
      </c>
      <c r="L684" s="26" t="s">
        <v>461</v>
      </c>
    </row>
    <row r="685" hidden="1">
      <c r="K685" s="26" t="s">
        <v>461</v>
      </c>
      <c r="L685" s="26" t="s">
        <v>461</v>
      </c>
    </row>
    <row r="686" hidden="1">
      <c r="K686" s="26" t="s">
        <v>461</v>
      </c>
      <c r="L686" s="26" t="s">
        <v>461</v>
      </c>
    </row>
    <row r="687" hidden="1">
      <c r="K687" s="26" t="s">
        <v>461</v>
      </c>
      <c r="L687" s="26" t="s">
        <v>461</v>
      </c>
    </row>
    <row r="688" hidden="1">
      <c r="K688" s="26" t="s">
        <v>461</v>
      </c>
      <c r="L688" s="26" t="s">
        <v>461</v>
      </c>
    </row>
    <row r="689" hidden="1">
      <c r="K689" s="26" t="s">
        <v>461</v>
      </c>
      <c r="L689" s="26" t="s">
        <v>461</v>
      </c>
    </row>
    <row r="690" hidden="1">
      <c r="K690" s="26" t="s">
        <v>461</v>
      </c>
      <c r="L690" s="26" t="s">
        <v>461</v>
      </c>
    </row>
    <row r="691" hidden="1">
      <c r="K691" s="26" t="s">
        <v>461</v>
      </c>
      <c r="L691" s="26" t="s">
        <v>461</v>
      </c>
    </row>
    <row r="692" hidden="1">
      <c r="K692" s="26" t="s">
        <v>461</v>
      </c>
      <c r="L692" s="26" t="s">
        <v>461</v>
      </c>
    </row>
    <row r="693" hidden="1">
      <c r="K693" s="26" t="s">
        <v>461</v>
      </c>
      <c r="L693" s="26" t="s">
        <v>461</v>
      </c>
    </row>
    <row r="694" hidden="1">
      <c r="K694" s="26" t="s">
        <v>461</v>
      </c>
      <c r="L694" s="26" t="s">
        <v>461</v>
      </c>
    </row>
    <row r="695" hidden="1">
      <c r="K695" s="26" t="s">
        <v>461</v>
      </c>
      <c r="L695" s="26" t="s">
        <v>461</v>
      </c>
    </row>
    <row r="696" hidden="1">
      <c r="K696" s="26" t="s">
        <v>461</v>
      </c>
      <c r="L696" s="26" t="s">
        <v>461</v>
      </c>
    </row>
    <row r="697" hidden="1">
      <c r="K697" s="26" t="s">
        <v>461</v>
      </c>
      <c r="L697" s="26" t="s">
        <v>461</v>
      </c>
    </row>
    <row r="698" hidden="1">
      <c r="K698" s="26" t="s">
        <v>461</v>
      </c>
      <c r="L698" s="26" t="s">
        <v>461</v>
      </c>
    </row>
    <row r="699" hidden="1">
      <c r="K699" s="26" t="s">
        <v>461</v>
      </c>
      <c r="L699" s="26" t="s">
        <v>461</v>
      </c>
    </row>
    <row r="700" hidden="1">
      <c r="K700" s="26" t="s">
        <v>461</v>
      </c>
      <c r="L700" s="26" t="s">
        <v>461</v>
      </c>
    </row>
    <row r="701" hidden="1">
      <c r="K701" s="26" t="s">
        <v>461</v>
      </c>
      <c r="L701" s="26" t="s">
        <v>461</v>
      </c>
    </row>
    <row r="702" hidden="1">
      <c r="K702" s="26" t="s">
        <v>461</v>
      </c>
      <c r="L702" s="26" t="s">
        <v>461</v>
      </c>
    </row>
    <row r="703" hidden="1">
      <c r="K703" s="26" t="s">
        <v>461</v>
      </c>
      <c r="L703" s="26" t="s">
        <v>461</v>
      </c>
    </row>
    <row r="704" hidden="1">
      <c r="K704" s="26" t="s">
        <v>461</v>
      </c>
      <c r="L704" s="26" t="s">
        <v>461</v>
      </c>
    </row>
    <row r="705" hidden="1">
      <c r="K705" s="26" t="s">
        <v>461</v>
      </c>
      <c r="L705" s="26" t="s">
        <v>461</v>
      </c>
    </row>
    <row r="706" hidden="1">
      <c r="K706" s="26" t="s">
        <v>461</v>
      </c>
      <c r="L706" s="26" t="s">
        <v>461</v>
      </c>
    </row>
    <row r="707" hidden="1">
      <c r="K707" s="26" t="s">
        <v>461</v>
      </c>
      <c r="L707" s="26" t="s">
        <v>461</v>
      </c>
    </row>
    <row r="708" hidden="1">
      <c r="K708" s="26" t="s">
        <v>461</v>
      </c>
      <c r="L708" s="26" t="s">
        <v>461</v>
      </c>
    </row>
    <row r="709" hidden="1">
      <c r="K709" s="26" t="s">
        <v>461</v>
      </c>
      <c r="L709" s="26" t="s">
        <v>461</v>
      </c>
    </row>
    <row r="710" hidden="1">
      <c r="K710" s="26" t="s">
        <v>461</v>
      </c>
      <c r="L710" s="26" t="s">
        <v>461</v>
      </c>
    </row>
    <row r="711" hidden="1">
      <c r="K711" s="26" t="s">
        <v>461</v>
      </c>
      <c r="L711" s="26" t="s">
        <v>461</v>
      </c>
    </row>
    <row r="712" hidden="1">
      <c r="K712" s="26" t="s">
        <v>461</v>
      </c>
      <c r="L712" s="26" t="s">
        <v>461</v>
      </c>
    </row>
    <row r="713" hidden="1">
      <c r="K713" s="26" t="s">
        <v>461</v>
      </c>
      <c r="L713" s="26" t="s">
        <v>461</v>
      </c>
    </row>
    <row r="714" hidden="1">
      <c r="K714" s="26" t="s">
        <v>461</v>
      </c>
      <c r="L714" s="26" t="s">
        <v>461</v>
      </c>
    </row>
    <row r="715" hidden="1">
      <c r="K715" s="26" t="s">
        <v>461</v>
      </c>
      <c r="L715" s="26" t="s">
        <v>461</v>
      </c>
    </row>
    <row r="716" hidden="1">
      <c r="K716" s="26" t="s">
        <v>461</v>
      </c>
      <c r="L716" s="26" t="s">
        <v>461</v>
      </c>
    </row>
    <row r="717" hidden="1">
      <c r="K717" s="26" t="s">
        <v>461</v>
      </c>
      <c r="L717" s="26" t="s">
        <v>461</v>
      </c>
    </row>
    <row r="718" hidden="1">
      <c r="K718" s="26" t="s">
        <v>461</v>
      </c>
      <c r="L718" s="26" t="s">
        <v>461</v>
      </c>
    </row>
    <row r="719" hidden="1">
      <c r="K719" s="26" t="s">
        <v>461</v>
      </c>
      <c r="L719" s="26" t="s">
        <v>461</v>
      </c>
    </row>
    <row r="720" hidden="1">
      <c r="K720" s="26" t="s">
        <v>461</v>
      </c>
      <c r="L720" s="26" t="s">
        <v>461</v>
      </c>
    </row>
    <row r="721" hidden="1">
      <c r="K721" s="26" t="s">
        <v>461</v>
      </c>
      <c r="L721" s="26" t="s">
        <v>461</v>
      </c>
    </row>
    <row r="722" hidden="1">
      <c r="K722" s="26" t="s">
        <v>461</v>
      </c>
      <c r="L722" s="26" t="s">
        <v>461</v>
      </c>
    </row>
    <row r="723" hidden="1">
      <c r="K723" s="26" t="s">
        <v>461</v>
      </c>
      <c r="L723" s="26" t="s">
        <v>461</v>
      </c>
    </row>
    <row r="724" hidden="1">
      <c r="K724" s="26" t="s">
        <v>461</v>
      </c>
      <c r="L724" s="26" t="s">
        <v>461</v>
      </c>
    </row>
    <row r="725" hidden="1">
      <c r="K725" s="26" t="s">
        <v>461</v>
      </c>
      <c r="L725" s="26" t="s">
        <v>461</v>
      </c>
    </row>
    <row r="726" hidden="1">
      <c r="K726" s="26" t="s">
        <v>461</v>
      </c>
      <c r="L726" s="26" t="s">
        <v>461</v>
      </c>
    </row>
    <row r="727" hidden="1">
      <c r="K727" s="26" t="s">
        <v>461</v>
      </c>
      <c r="L727" s="26" t="s">
        <v>461</v>
      </c>
    </row>
    <row r="728" hidden="1">
      <c r="K728" s="26" t="s">
        <v>461</v>
      </c>
      <c r="L728" s="26" t="s">
        <v>461</v>
      </c>
    </row>
    <row r="729" hidden="1">
      <c r="K729" s="26" t="s">
        <v>461</v>
      </c>
      <c r="L729" s="26" t="s">
        <v>461</v>
      </c>
    </row>
    <row r="730" hidden="1">
      <c r="K730" s="26" t="s">
        <v>461</v>
      </c>
      <c r="L730" s="26" t="s">
        <v>461</v>
      </c>
    </row>
    <row r="731" hidden="1">
      <c r="K731" s="26" t="s">
        <v>461</v>
      </c>
      <c r="L731" s="26" t="s">
        <v>461</v>
      </c>
    </row>
    <row r="732" hidden="1">
      <c r="K732" s="26" t="s">
        <v>461</v>
      </c>
      <c r="L732" s="26" t="s">
        <v>461</v>
      </c>
    </row>
    <row r="733" hidden="1">
      <c r="K733" s="26" t="s">
        <v>461</v>
      </c>
      <c r="L733" s="26" t="s">
        <v>461</v>
      </c>
    </row>
    <row r="734" hidden="1">
      <c r="K734" s="26" t="s">
        <v>461</v>
      </c>
      <c r="L734" s="26" t="s">
        <v>461</v>
      </c>
    </row>
    <row r="735" hidden="1">
      <c r="K735" s="26" t="s">
        <v>461</v>
      </c>
      <c r="L735" s="26" t="s">
        <v>461</v>
      </c>
    </row>
    <row r="736" hidden="1">
      <c r="K736" s="26" t="s">
        <v>461</v>
      </c>
      <c r="L736" s="26" t="s">
        <v>461</v>
      </c>
    </row>
    <row r="737" hidden="1">
      <c r="K737" s="26" t="s">
        <v>461</v>
      </c>
      <c r="L737" s="26" t="s">
        <v>461</v>
      </c>
    </row>
    <row r="738" hidden="1">
      <c r="K738" s="26" t="s">
        <v>461</v>
      </c>
      <c r="L738" s="26" t="s">
        <v>461</v>
      </c>
    </row>
    <row r="739" hidden="1">
      <c r="K739" s="26" t="s">
        <v>461</v>
      </c>
      <c r="L739" s="26" t="s">
        <v>461</v>
      </c>
    </row>
    <row r="740" hidden="1">
      <c r="K740" s="26" t="s">
        <v>461</v>
      </c>
      <c r="L740" s="26" t="s">
        <v>461</v>
      </c>
    </row>
    <row r="741" hidden="1">
      <c r="K741" s="26" t="s">
        <v>461</v>
      </c>
      <c r="L741" s="26" t="s">
        <v>461</v>
      </c>
    </row>
    <row r="742" hidden="1">
      <c r="K742" s="26" t="s">
        <v>461</v>
      </c>
      <c r="L742" s="26" t="s">
        <v>461</v>
      </c>
    </row>
    <row r="743" hidden="1">
      <c r="K743" s="26" t="s">
        <v>461</v>
      </c>
      <c r="L743" s="26" t="s">
        <v>461</v>
      </c>
    </row>
    <row r="744" hidden="1">
      <c r="K744" s="26" t="s">
        <v>461</v>
      </c>
      <c r="L744" s="26" t="s">
        <v>461</v>
      </c>
    </row>
    <row r="745" hidden="1">
      <c r="K745" s="26" t="s">
        <v>461</v>
      </c>
      <c r="L745" s="26" t="s">
        <v>461</v>
      </c>
    </row>
    <row r="746" hidden="1">
      <c r="K746" s="26" t="s">
        <v>461</v>
      </c>
      <c r="L746" s="26" t="s">
        <v>461</v>
      </c>
    </row>
    <row r="747" hidden="1">
      <c r="K747" s="26" t="s">
        <v>461</v>
      </c>
      <c r="L747" s="26" t="s">
        <v>461</v>
      </c>
    </row>
    <row r="748" hidden="1">
      <c r="K748" s="26" t="s">
        <v>461</v>
      </c>
      <c r="L748" s="26" t="s">
        <v>461</v>
      </c>
    </row>
    <row r="749" hidden="1">
      <c r="K749" s="26" t="s">
        <v>461</v>
      </c>
      <c r="L749" s="26" t="s">
        <v>461</v>
      </c>
    </row>
    <row r="750" hidden="1">
      <c r="K750" s="26" t="s">
        <v>461</v>
      </c>
      <c r="L750" s="26" t="s">
        <v>461</v>
      </c>
    </row>
    <row r="751" hidden="1">
      <c r="K751" s="26" t="s">
        <v>461</v>
      </c>
      <c r="L751" s="26" t="s">
        <v>461</v>
      </c>
    </row>
    <row r="752" hidden="1">
      <c r="K752" s="26" t="s">
        <v>461</v>
      </c>
      <c r="L752" s="26" t="s">
        <v>461</v>
      </c>
    </row>
    <row r="753" hidden="1">
      <c r="K753" s="26" t="s">
        <v>461</v>
      </c>
      <c r="L753" s="26" t="s">
        <v>461</v>
      </c>
    </row>
    <row r="754" hidden="1">
      <c r="K754" s="26" t="s">
        <v>461</v>
      </c>
      <c r="L754" s="26" t="s">
        <v>461</v>
      </c>
    </row>
    <row r="755" hidden="1">
      <c r="K755" s="26" t="s">
        <v>461</v>
      </c>
      <c r="L755" s="26" t="s">
        <v>461</v>
      </c>
    </row>
    <row r="756" hidden="1">
      <c r="K756" s="26" t="s">
        <v>461</v>
      </c>
      <c r="L756" s="26" t="s">
        <v>461</v>
      </c>
    </row>
    <row r="757" hidden="1">
      <c r="K757" s="26" t="s">
        <v>461</v>
      </c>
      <c r="L757" s="26" t="s">
        <v>461</v>
      </c>
    </row>
    <row r="758" hidden="1">
      <c r="K758" s="26" t="s">
        <v>461</v>
      </c>
      <c r="L758" s="26" t="s">
        <v>461</v>
      </c>
    </row>
    <row r="759" hidden="1">
      <c r="K759" s="26" t="s">
        <v>461</v>
      </c>
      <c r="L759" s="26" t="s">
        <v>461</v>
      </c>
    </row>
    <row r="760" hidden="1">
      <c r="K760" s="26" t="s">
        <v>461</v>
      </c>
      <c r="L760" s="26" t="s">
        <v>461</v>
      </c>
    </row>
    <row r="761" hidden="1">
      <c r="K761" s="26" t="s">
        <v>461</v>
      </c>
      <c r="L761" s="26" t="s">
        <v>461</v>
      </c>
    </row>
    <row r="762" hidden="1">
      <c r="K762" s="26" t="s">
        <v>461</v>
      </c>
      <c r="L762" s="26" t="s">
        <v>461</v>
      </c>
    </row>
    <row r="763" hidden="1">
      <c r="K763" s="26" t="s">
        <v>461</v>
      </c>
      <c r="L763" s="26" t="s">
        <v>461</v>
      </c>
    </row>
    <row r="764" hidden="1">
      <c r="K764" s="26" t="s">
        <v>461</v>
      </c>
      <c r="L764" s="26" t="s">
        <v>461</v>
      </c>
    </row>
    <row r="765" hidden="1">
      <c r="K765" s="26" t="s">
        <v>461</v>
      </c>
      <c r="L765" s="26" t="s">
        <v>461</v>
      </c>
    </row>
    <row r="766" hidden="1">
      <c r="K766" s="26" t="s">
        <v>461</v>
      </c>
      <c r="L766" s="26" t="s">
        <v>461</v>
      </c>
    </row>
    <row r="767" hidden="1">
      <c r="K767" s="26" t="s">
        <v>461</v>
      </c>
      <c r="L767" s="26" t="s">
        <v>461</v>
      </c>
    </row>
    <row r="768" hidden="1">
      <c r="K768" s="26" t="s">
        <v>461</v>
      </c>
      <c r="L768" s="26" t="s">
        <v>461</v>
      </c>
    </row>
    <row r="769" hidden="1">
      <c r="K769" s="26" t="s">
        <v>461</v>
      </c>
      <c r="L769" s="26" t="s">
        <v>461</v>
      </c>
    </row>
    <row r="770" hidden="1">
      <c r="K770" s="26" t="s">
        <v>461</v>
      </c>
      <c r="L770" s="26" t="s">
        <v>461</v>
      </c>
    </row>
    <row r="771" hidden="1">
      <c r="K771" s="26" t="s">
        <v>461</v>
      </c>
      <c r="L771" s="26" t="s">
        <v>461</v>
      </c>
    </row>
    <row r="772" hidden="1">
      <c r="K772" s="26" t="s">
        <v>461</v>
      </c>
      <c r="L772" s="26" t="s">
        <v>461</v>
      </c>
    </row>
    <row r="773" hidden="1">
      <c r="K773" s="26" t="s">
        <v>461</v>
      </c>
      <c r="L773" s="26" t="s">
        <v>461</v>
      </c>
    </row>
    <row r="774" hidden="1">
      <c r="K774" s="26" t="s">
        <v>461</v>
      </c>
      <c r="L774" s="26" t="s">
        <v>461</v>
      </c>
    </row>
    <row r="775" hidden="1">
      <c r="K775" s="26" t="s">
        <v>461</v>
      </c>
      <c r="L775" s="26" t="s">
        <v>461</v>
      </c>
    </row>
    <row r="776" hidden="1">
      <c r="K776" s="26" t="s">
        <v>461</v>
      </c>
      <c r="L776" s="26" t="s">
        <v>461</v>
      </c>
    </row>
    <row r="777" hidden="1">
      <c r="K777" s="26" t="s">
        <v>461</v>
      </c>
      <c r="L777" s="26" t="s">
        <v>461</v>
      </c>
    </row>
    <row r="778" hidden="1">
      <c r="K778" s="26" t="s">
        <v>461</v>
      </c>
      <c r="L778" s="26" t="s">
        <v>461</v>
      </c>
    </row>
    <row r="779" hidden="1">
      <c r="K779" s="26" t="s">
        <v>461</v>
      </c>
      <c r="L779" s="26" t="s">
        <v>461</v>
      </c>
    </row>
    <row r="780" hidden="1">
      <c r="K780" s="26" t="s">
        <v>461</v>
      </c>
      <c r="L780" s="26" t="s">
        <v>461</v>
      </c>
    </row>
    <row r="781" hidden="1">
      <c r="K781" s="26" t="s">
        <v>461</v>
      </c>
      <c r="L781" s="26" t="s">
        <v>461</v>
      </c>
    </row>
    <row r="782" hidden="1">
      <c r="K782" s="26" t="s">
        <v>461</v>
      </c>
      <c r="L782" s="26" t="s">
        <v>461</v>
      </c>
    </row>
    <row r="783" hidden="1">
      <c r="K783" s="26" t="s">
        <v>461</v>
      </c>
      <c r="L783" s="26" t="s">
        <v>461</v>
      </c>
    </row>
    <row r="784" hidden="1">
      <c r="K784" s="26" t="s">
        <v>461</v>
      </c>
      <c r="L784" s="26" t="s">
        <v>461</v>
      </c>
    </row>
    <row r="785" hidden="1">
      <c r="K785" s="26" t="s">
        <v>461</v>
      </c>
      <c r="L785" s="26" t="s">
        <v>461</v>
      </c>
    </row>
    <row r="786" hidden="1">
      <c r="K786" s="26" t="s">
        <v>461</v>
      </c>
      <c r="L786" s="26" t="s">
        <v>461</v>
      </c>
    </row>
    <row r="787" hidden="1">
      <c r="K787" s="26" t="s">
        <v>461</v>
      </c>
      <c r="L787" s="26" t="s">
        <v>461</v>
      </c>
    </row>
    <row r="788" hidden="1">
      <c r="K788" s="26" t="s">
        <v>461</v>
      </c>
      <c r="L788" s="26" t="s">
        <v>461</v>
      </c>
    </row>
    <row r="789" hidden="1">
      <c r="K789" s="26" t="s">
        <v>461</v>
      </c>
      <c r="L789" s="26" t="s">
        <v>461</v>
      </c>
    </row>
    <row r="790" hidden="1">
      <c r="K790" s="26" t="s">
        <v>461</v>
      </c>
      <c r="L790" s="26" t="s">
        <v>461</v>
      </c>
    </row>
    <row r="791" hidden="1">
      <c r="K791" s="26" t="s">
        <v>461</v>
      </c>
      <c r="L791" s="26" t="s">
        <v>461</v>
      </c>
    </row>
    <row r="792" hidden="1">
      <c r="K792" s="26" t="s">
        <v>461</v>
      </c>
      <c r="L792" s="26" t="s">
        <v>461</v>
      </c>
    </row>
    <row r="793" hidden="1">
      <c r="K793" s="26" t="s">
        <v>461</v>
      </c>
      <c r="L793" s="26" t="s">
        <v>461</v>
      </c>
    </row>
    <row r="794" hidden="1">
      <c r="K794" s="26" t="s">
        <v>461</v>
      </c>
      <c r="L794" s="26" t="s">
        <v>461</v>
      </c>
    </row>
    <row r="795" hidden="1">
      <c r="K795" s="26" t="s">
        <v>461</v>
      </c>
      <c r="L795" s="26" t="s">
        <v>461</v>
      </c>
    </row>
    <row r="796" hidden="1">
      <c r="K796" s="26" t="s">
        <v>461</v>
      </c>
      <c r="L796" s="26" t="s">
        <v>461</v>
      </c>
    </row>
    <row r="797" hidden="1">
      <c r="K797" s="26" t="s">
        <v>461</v>
      </c>
      <c r="L797" s="26" t="s">
        <v>461</v>
      </c>
    </row>
    <row r="798" hidden="1">
      <c r="K798" s="26" t="s">
        <v>461</v>
      </c>
      <c r="L798" s="26" t="s">
        <v>461</v>
      </c>
    </row>
    <row r="799" hidden="1">
      <c r="K799" s="26" t="s">
        <v>461</v>
      </c>
      <c r="L799" s="26" t="s">
        <v>461</v>
      </c>
    </row>
    <row r="800" hidden="1">
      <c r="K800" s="26" t="s">
        <v>461</v>
      </c>
      <c r="L800" s="26" t="s">
        <v>461</v>
      </c>
    </row>
    <row r="801" hidden="1">
      <c r="K801" s="26" t="s">
        <v>461</v>
      </c>
      <c r="L801" s="26" t="s">
        <v>461</v>
      </c>
    </row>
    <row r="802" hidden="1">
      <c r="K802" s="26" t="s">
        <v>461</v>
      </c>
      <c r="L802" s="26" t="s">
        <v>461</v>
      </c>
    </row>
    <row r="803" hidden="1">
      <c r="K803" s="26" t="s">
        <v>461</v>
      </c>
      <c r="L803" s="26" t="s">
        <v>461</v>
      </c>
    </row>
    <row r="804" hidden="1">
      <c r="K804" s="26" t="s">
        <v>461</v>
      </c>
      <c r="L804" s="26" t="s">
        <v>461</v>
      </c>
    </row>
    <row r="805" hidden="1">
      <c r="K805" s="26" t="s">
        <v>461</v>
      </c>
      <c r="L805" s="26" t="s">
        <v>461</v>
      </c>
    </row>
    <row r="806" hidden="1">
      <c r="K806" s="26" t="s">
        <v>461</v>
      </c>
      <c r="L806" s="26" t="s">
        <v>461</v>
      </c>
    </row>
    <row r="807" hidden="1">
      <c r="K807" s="26" t="s">
        <v>461</v>
      </c>
      <c r="L807" s="26" t="s">
        <v>461</v>
      </c>
    </row>
    <row r="808" hidden="1">
      <c r="K808" s="26" t="s">
        <v>461</v>
      </c>
      <c r="L808" s="26" t="s">
        <v>461</v>
      </c>
    </row>
    <row r="809" hidden="1">
      <c r="K809" s="26" t="s">
        <v>461</v>
      </c>
      <c r="L809" s="26" t="s">
        <v>461</v>
      </c>
    </row>
    <row r="810" hidden="1">
      <c r="K810" s="26" t="s">
        <v>461</v>
      </c>
      <c r="L810" s="26" t="s">
        <v>461</v>
      </c>
    </row>
    <row r="811" hidden="1">
      <c r="K811" s="26" t="s">
        <v>461</v>
      </c>
      <c r="L811" s="26" t="s">
        <v>461</v>
      </c>
    </row>
    <row r="812" hidden="1">
      <c r="K812" s="26" t="s">
        <v>461</v>
      </c>
      <c r="L812" s="26" t="s">
        <v>461</v>
      </c>
    </row>
    <row r="813" hidden="1">
      <c r="K813" s="26" t="s">
        <v>461</v>
      </c>
      <c r="L813" s="26" t="s">
        <v>461</v>
      </c>
    </row>
    <row r="814" hidden="1">
      <c r="K814" s="26" t="s">
        <v>461</v>
      </c>
      <c r="L814" s="26" t="s">
        <v>461</v>
      </c>
    </row>
    <row r="815" hidden="1">
      <c r="K815" s="26" t="s">
        <v>461</v>
      </c>
      <c r="L815" s="26" t="s">
        <v>461</v>
      </c>
    </row>
    <row r="816" hidden="1">
      <c r="K816" s="26" t="s">
        <v>461</v>
      </c>
      <c r="L816" s="26" t="s">
        <v>461</v>
      </c>
    </row>
    <row r="817" hidden="1">
      <c r="K817" s="26" t="s">
        <v>461</v>
      </c>
      <c r="L817" s="26" t="s">
        <v>461</v>
      </c>
    </row>
    <row r="818" hidden="1">
      <c r="K818" s="26" t="s">
        <v>461</v>
      </c>
      <c r="L818" s="26" t="s">
        <v>461</v>
      </c>
    </row>
    <row r="819" hidden="1">
      <c r="K819" s="26" t="s">
        <v>461</v>
      </c>
      <c r="L819" s="26" t="s">
        <v>461</v>
      </c>
    </row>
    <row r="820" hidden="1">
      <c r="K820" s="26" t="s">
        <v>461</v>
      </c>
      <c r="L820" s="26" t="s">
        <v>461</v>
      </c>
    </row>
    <row r="821" hidden="1">
      <c r="K821" s="26" t="s">
        <v>461</v>
      </c>
      <c r="L821" s="26" t="s">
        <v>461</v>
      </c>
    </row>
    <row r="822" hidden="1">
      <c r="K822" s="26" t="s">
        <v>461</v>
      </c>
      <c r="L822" s="26" t="s">
        <v>461</v>
      </c>
    </row>
    <row r="823" hidden="1">
      <c r="K823" s="26" t="s">
        <v>461</v>
      </c>
      <c r="L823" s="26" t="s">
        <v>461</v>
      </c>
    </row>
    <row r="824" hidden="1">
      <c r="K824" s="26" t="s">
        <v>461</v>
      </c>
      <c r="L824" s="26" t="s">
        <v>461</v>
      </c>
    </row>
    <row r="825" hidden="1">
      <c r="K825" s="26" t="s">
        <v>461</v>
      </c>
      <c r="L825" s="26" t="s">
        <v>461</v>
      </c>
    </row>
    <row r="826" hidden="1">
      <c r="K826" s="26" t="s">
        <v>461</v>
      </c>
      <c r="L826" s="26" t="s">
        <v>461</v>
      </c>
    </row>
    <row r="827" hidden="1">
      <c r="K827" s="26" t="s">
        <v>461</v>
      </c>
      <c r="L827" s="26" t="s">
        <v>461</v>
      </c>
    </row>
    <row r="828" hidden="1">
      <c r="K828" s="26" t="s">
        <v>461</v>
      </c>
      <c r="L828" s="26" t="s">
        <v>461</v>
      </c>
    </row>
    <row r="829" hidden="1">
      <c r="K829" s="26" t="s">
        <v>461</v>
      </c>
      <c r="L829" s="26" t="s">
        <v>461</v>
      </c>
    </row>
    <row r="830" hidden="1">
      <c r="K830" s="26" t="s">
        <v>461</v>
      </c>
      <c r="L830" s="26" t="s">
        <v>461</v>
      </c>
    </row>
    <row r="831" hidden="1">
      <c r="K831" s="26" t="s">
        <v>461</v>
      </c>
      <c r="L831" s="26" t="s">
        <v>461</v>
      </c>
    </row>
    <row r="832" hidden="1">
      <c r="K832" s="26" t="s">
        <v>461</v>
      </c>
      <c r="L832" s="26" t="s">
        <v>461</v>
      </c>
    </row>
    <row r="833" hidden="1">
      <c r="K833" s="26" t="s">
        <v>461</v>
      </c>
      <c r="L833" s="26" t="s">
        <v>461</v>
      </c>
    </row>
    <row r="834" hidden="1">
      <c r="K834" s="26" t="s">
        <v>461</v>
      </c>
      <c r="L834" s="26" t="s">
        <v>461</v>
      </c>
    </row>
    <row r="835" hidden="1">
      <c r="K835" s="26" t="s">
        <v>461</v>
      </c>
      <c r="L835" s="26" t="s">
        <v>461</v>
      </c>
    </row>
    <row r="836" hidden="1">
      <c r="K836" s="26" t="s">
        <v>461</v>
      </c>
      <c r="L836" s="26" t="s">
        <v>461</v>
      </c>
    </row>
    <row r="837" hidden="1">
      <c r="K837" s="26" t="s">
        <v>461</v>
      </c>
      <c r="L837" s="26" t="s">
        <v>461</v>
      </c>
    </row>
    <row r="838" hidden="1">
      <c r="K838" s="26" t="s">
        <v>461</v>
      </c>
      <c r="L838" s="26" t="s">
        <v>461</v>
      </c>
    </row>
    <row r="839" hidden="1">
      <c r="K839" s="26" t="s">
        <v>461</v>
      </c>
      <c r="L839" s="26" t="s">
        <v>461</v>
      </c>
    </row>
    <row r="840" hidden="1">
      <c r="K840" s="26" t="s">
        <v>461</v>
      </c>
      <c r="L840" s="26" t="s">
        <v>461</v>
      </c>
    </row>
    <row r="841" hidden="1">
      <c r="K841" s="26" t="s">
        <v>461</v>
      </c>
      <c r="L841" s="26" t="s">
        <v>461</v>
      </c>
    </row>
    <row r="842" hidden="1">
      <c r="K842" s="26" t="s">
        <v>461</v>
      </c>
      <c r="L842" s="26" t="s">
        <v>461</v>
      </c>
    </row>
    <row r="843" hidden="1">
      <c r="K843" s="26" t="s">
        <v>461</v>
      </c>
      <c r="L843" s="26" t="s">
        <v>461</v>
      </c>
    </row>
    <row r="844" hidden="1">
      <c r="K844" s="26" t="s">
        <v>461</v>
      </c>
      <c r="L844" s="26" t="s">
        <v>461</v>
      </c>
    </row>
    <row r="845" hidden="1">
      <c r="K845" s="26" t="s">
        <v>461</v>
      </c>
      <c r="L845" s="26" t="s">
        <v>461</v>
      </c>
    </row>
    <row r="846" hidden="1">
      <c r="K846" s="26" t="s">
        <v>461</v>
      </c>
      <c r="L846" s="26" t="s">
        <v>461</v>
      </c>
    </row>
    <row r="847" hidden="1">
      <c r="K847" s="26" t="s">
        <v>461</v>
      </c>
      <c r="L847" s="26" t="s">
        <v>461</v>
      </c>
    </row>
    <row r="848" hidden="1">
      <c r="K848" s="26" t="s">
        <v>461</v>
      </c>
      <c r="L848" s="26" t="s">
        <v>461</v>
      </c>
    </row>
    <row r="849" hidden="1">
      <c r="K849" s="26" t="s">
        <v>461</v>
      </c>
      <c r="L849" s="26" t="s">
        <v>461</v>
      </c>
    </row>
    <row r="850" hidden="1">
      <c r="K850" s="26" t="s">
        <v>461</v>
      </c>
      <c r="L850" s="26" t="s">
        <v>461</v>
      </c>
    </row>
    <row r="851" hidden="1">
      <c r="K851" s="26" t="s">
        <v>461</v>
      </c>
      <c r="L851" s="26" t="s">
        <v>461</v>
      </c>
    </row>
    <row r="852" hidden="1">
      <c r="K852" s="26" t="s">
        <v>461</v>
      </c>
      <c r="L852" s="26" t="s">
        <v>461</v>
      </c>
    </row>
    <row r="853" hidden="1">
      <c r="K853" s="26" t="s">
        <v>461</v>
      </c>
      <c r="L853" s="26" t="s">
        <v>461</v>
      </c>
    </row>
    <row r="854" hidden="1">
      <c r="K854" s="26" t="s">
        <v>461</v>
      </c>
      <c r="L854" s="26" t="s">
        <v>461</v>
      </c>
    </row>
    <row r="855" hidden="1">
      <c r="K855" s="26" t="s">
        <v>461</v>
      </c>
      <c r="L855" s="26" t="s">
        <v>461</v>
      </c>
    </row>
    <row r="856" hidden="1">
      <c r="K856" s="26" t="s">
        <v>461</v>
      </c>
      <c r="L856" s="26" t="s">
        <v>461</v>
      </c>
    </row>
    <row r="857" hidden="1">
      <c r="K857" s="26" t="s">
        <v>461</v>
      </c>
      <c r="L857" s="26" t="s">
        <v>461</v>
      </c>
    </row>
    <row r="858" hidden="1">
      <c r="K858" s="26" t="s">
        <v>461</v>
      </c>
      <c r="L858" s="26" t="s">
        <v>461</v>
      </c>
    </row>
    <row r="859" hidden="1">
      <c r="K859" s="26" t="s">
        <v>461</v>
      </c>
      <c r="L859" s="26" t="s">
        <v>461</v>
      </c>
    </row>
    <row r="860" hidden="1">
      <c r="K860" s="26" t="s">
        <v>461</v>
      </c>
      <c r="L860" s="26" t="s">
        <v>461</v>
      </c>
    </row>
    <row r="861" hidden="1">
      <c r="K861" s="26" t="s">
        <v>461</v>
      </c>
      <c r="L861" s="26" t="s">
        <v>461</v>
      </c>
    </row>
    <row r="862" hidden="1">
      <c r="K862" s="26" t="s">
        <v>461</v>
      </c>
      <c r="L862" s="26" t="s">
        <v>461</v>
      </c>
    </row>
    <row r="863" hidden="1">
      <c r="K863" s="26" t="s">
        <v>461</v>
      </c>
      <c r="L863" s="26" t="s">
        <v>461</v>
      </c>
    </row>
    <row r="864" hidden="1">
      <c r="K864" s="26" t="s">
        <v>461</v>
      </c>
      <c r="L864" s="26" t="s">
        <v>461</v>
      </c>
    </row>
    <row r="865" hidden="1">
      <c r="K865" s="26" t="s">
        <v>461</v>
      </c>
      <c r="L865" s="26" t="s">
        <v>461</v>
      </c>
    </row>
    <row r="866" hidden="1">
      <c r="K866" s="26" t="s">
        <v>461</v>
      </c>
      <c r="L866" s="26" t="s">
        <v>461</v>
      </c>
    </row>
    <row r="867" hidden="1">
      <c r="K867" s="26" t="s">
        <v>461</v>
      </c>
      <c r="L867" s="26" t="s">
        <v>461</v>
      </c>
    </row>
    <row r="868" hidden="1">
      <c r="K868" s="26" t="s">
        <v>461</v>
      </c>
      <c r="L868" s="26" t="s">
        <v>461</v>
      </c>
    </row>
    <row r="869" hidden="1">
      <c r="K869" s="26" t="s">
        <v>461</v>
      </c>
      <c r="L869" s="26" t="s">
        <v>461</v>
      </c>
    </row>
    <row r="870" hidden="1">
      <c r="K870" s="26" t="s">
        <v>461</v>
      </c>
      <c r="L870" s="26" t="s">
        <v>461</v>
      </c>
    </row>
    <row r="871" hidden="1">
      <c r="K871" s="26" t="s">
        <v>461</v>
      </c>
      <c r="L871" s="26" t="s">
        <v>461</v>
      </c>
    </row>
    <row r="872" hidden="1">
      <c r="K872" s="26" t="s">
        <v>461</v>
      </c>
      <c r="L872" s="26" t="s">
        <v>461</v>
      </c>
    </row>
    <row r="873" hidden="1">
      <c r="K873" s="26" t="s">
        <v>461</v>
      </c>
      <c r="L873" s="26" t="s">
        <v>461</v>
      </c>
    </row>
    <row r="874" hidden="1">
      <c r="K874" s="26" t="s">
        <v>461</v>
      </c>
      <c r="L874" s="26" t="s">
        <v>461</v>
      </c>
    </row>
    <row r="875" hidden="1">
      <c r="K875" s="26" t="s">
        <v>461</v>
      </c>
      <c r="L875" s="26" t="s">
        <v>461</v>
      </c>
    </row>
    <row r="876" hidden="1">
      <c r="K876" s="26" t="s">
        <v>461</v>
      </c>
      <c r="L876" s="26" t="s">
        <v>461</v>
      </c>
    </row>
    <row r="877" hidden="1">
      <c r="K877" s="26" t="s">
        <v>461</v>
      </c>
      <c r="L877" s="26" t="s">
        <v>461</v>
      </c>
    </row>
    <row r="878" hidden="1">
      <c r="K878" s="26" t="s">
        <v>461</v>
      </c>
      <c r="L878" s="26" t="s">
        <v>461</v>
      </c>
    </row>
    <row r="879" hidden="1">
      <c r="K879" s="26" t="s">
        <v>461</v>
      </c>
      <c r="L879" s="26" t="s">
        <v>461</v>
      </c>
    </row>
    <row r="880" hidden="1">
      <c r="K880" s="26" t="s">
        <v>461</v>
      </c>
      <c r="L880" s="26" t="s">
        <v>461</v>
      </c>
    </row>
    <row r="881" hidden="1">
      <c r="K881" s="26" t="s">
        <v>461</v>
      </c>
      <c r="L881" s="26" t="s">
        <v>461</v>
      </c>
    </row>
    <row r="882" hidden="1">
      <c r="K882" s="26" t="s">
        <v>461</v>
      </c>
      <c r="L882" s="26" t="s">
        <v>461</v>
      </c>
    </row>
    <row r="883" hidden="1">
      <c r="K883" s="26" t="s">
        <v>461</v>
      </c>
      <c r="L883" s="26" t="s">
        <v>461</v>
      </c>
    </row>
    <row r="884" hidden="1">
      <c r="K884" s="26" t="s">
        <v>461</v>
      </c>
      <c r="L884" s="26" t="s">
        <v>461</v>
      </c>
    </row>
    <row r="885" hidden="1">
      <c r="K885" s="26" t="s">
        <v>461</v>
      </c>
      <c r="L885" s="26" t="s">
        <v>461</v>
      </c>
    </row>
    <row r="886" hidden="1">
      <c r="K886" s="26" t="s">
        <v>461</v>
      </c>
      <c r="L886" s="26" t="s">
        <v>461</v>
      </c>
    </row>
    <row r="887" hidden="1">
      <c r="K887" s="26" t="s">
        <v>461</v>
      </c>
      <c r="L887" s="26" t="s">
        <v>461</v>
      </c>
    </row>
    <row r="888" hidden="1">
      <c r="K888" s="26" t="s">
        <v>461</v>
      </c>
      <c r="L888" s="26" t="s">
        <v>461</v>
      </c>
    </row>
    <row r="889" hidden="1">
      <c r="K889" s="26" t="s">
        <v>461</v>
      </c>
      <c r="L889" s="26" t="s">
        <v>461</v>
      </c>
    </row>
    <row r="890" hidden="1">
      <c r="K890" s="26" t="s">
        <v>461</v>
      </c>
      <c r="L890" s="26" t="s">
        <v>461</v>
      </c>
    </row>
    <row r="891" hidden="1">
      <c r="K891" s="26" t="s">
        <v>461</v>
      </c>
      <c r="L891" s="26" t="s">
        <v>461</v>
      </c>
    </row>
    <row r="892" hidden="1">
      <c r="K892" s="26" t="s">
        <v>461</v>
      </c>
      <c r="L892" s="26" t="s">
        <v>461</v>
      </c>
    </row>
    <row r="893" hidden="1">
      <c r="K893" s="26" t="s">
        <v>461</v>
      </c>
      <c r="L893" s="26" t="s">
        <v>461</v>
      </c>
    </row>
    <row r="894" hidden="1">
      <c r="K894" s="26" t="s">
        <v>461</v>
      </c>
      <c r="L894" s="26" t="s">
        <v>461</v>
      </c>
    </row>
    <row r="895" hidden="1">
      <c r="K895" s="26" t="s">
        <v>461</v>
      </c>
      <c r="L895" s="26" t="s">
        <v>461</v>
      </c>
    </row>
    <row r="896" hidden="1">
      <c r="K896" s="26" t="s">
        <v>461</v>
      </c>
      <c r="L896" s="26" t="s">
        <v>461</v>
      </c>
    </row>
    <row r="897" hidden="1">
      <c r="K897" s="26" t="s">
        <v>461</v>
      </c>
      <c r="L897" s="26" t="s">
        <v>461</v>
      </c>
    </row>
    <row r="898" hidden="1">
      <c r="K898" s="26" t="s">
        <v>461</v>
      </c>
      <c r="L898" s="26" t="s">
        <v>461</v>
      </c>
    </row>
    <row r="899" hidden="1">
      <c r="K899" s="26" t="s">
        <v>461</v>
      </c>
      <c r="L899" s="26" t="s">
        <v>461</v>
      </c>
    </row>
    <row r="900" hidden="1">
      <c r="K900" s="26" t="s">
        <v>461</v>
      </c>
      <c r="L900" s="26" t="s">
        <v>461</v>
      </c>
    </row>
    <row r="901" hidden="1">
      <c r="K901" s="26" t="s">
        <v>461</v>
      </c>
      <c r="L901" s="26" t="s">
        <v>461</v>
      </c>
    </row>
    <row r="902" hidden="1">
      <c r="K902" s="26" t="s">
        <v>461</v>
      </c>
      <c r="L902" s="26" t="s">
        <v>461</v>
      </c>
    </row>
    <row r="903" hidden="1">
      <c r="K903" s="26" t="s">
        <v>461</v>
      </c>
      <c r="L903" s="26" t="s">
        <v>461</v>
      </c>
    </row>
    <row r="904" hidden="1">
      <c r="K904" s="26" t="s">
        <v>461</v>
      </c>
      <c r="L904" s="26" t="s">
        <v>461</v>
      </c>
    </row>
    <row r="905" hidden="1">
      <c r="K905" s="26" t="s">
        <v>461</v>
      </c>
      <c r="L905" s="26" t="s">
        <v>461</v>
      </c>
    </row>
    <row r="906" hidden="1">
      <c r="K906" s="26" t="s">
        <v>461</v>
      </c>
      <c r="L906" s="26" t="s">
        <v>461</v>
      </c>
    </row>
    <row r="907" hidden="1">
      <c r="K907" s="26" t="s">
        <v>461</v>
      </c>
      <c r="L907" s="26" t="s">
        <v>461</v>
      </c>
    </row>
    <row r="908" hidden="1">
      <c r="K908" s="26" t="s">
        <v>461</v>
      </c>
      <c r="L908" s="26" t="s">
        <v>461</v>
      </c>
    </row>
    <row r="909" hidden="1">
      <c r="K909" s="26" t="s">
        <v>461</v>
      </c>
      <c r="L909" s="26" t="s">
        <v>461</v>
      </c>
    </row>
    <row r="910" hidden="1">
      <c r="K910" s="26" t="s">
        <v>461</v>
      </c>
      <c r="L910" s="26" t="s">
        <v>461</v>
      </c>
    </row>
    <row r="911" hidden="1">
      <c r="K911" s="26" t="s">
        <v>461</v>
      </c>
      <c r="L911" s="26" t="s">
        <v>461</v>
      </c>
    </row>
    <row r="912" hidden="1">
      <c r="K912" s="26" t="s">
        <v>461</v>
      </c>
      <c r="L912" s="26" t="s">
        <v>461</v>
      </c>
    </row>
    <row r="913" hidden="1">
      <c r="K913" s="26" t="s">
        <v>461</v>
      </c>
      <c r="L913" s="26" t="s">
        <v>461</v>
      </c>
    </row>
    <row r="914" hidden="1">
      <c r="K914" s="26" t="s">
        <v>461</v>
      </c>
      <c r="L914" s="26" t="s">
        <v>461</v>
      </c>
    </row>
    <row r="915" hidden="1">
      <c r="K915" s="26" t="s">
        <v>461</v>
      </c>
      <c r="L915" s="26" t="s">
        <v>461</v>
      </c>
    </row>
    <row r="916" hidden="1">
      <c r="K916" s="26" t="s">
        <v>461</v>
      </c>
      <c r="L916" s="26" t="s">
        <v>461</v>
      </c>
    </row>
    <row r="917" hidden="1">
      <c r="K917" s="26" t="s">
        <v>461</v>
      </c>
      <c r="L917" s="26" t="s">
        <v>461</v>
      </c>
    </row>
    <row r="918" hidden="1">
      <c r="K918" s="26" t="s">
        <v>461</v>
      </c>
      <c r="L918" s="26" t="s">
        <v>461</v>
      </c>
    </row>
    <row r="919" hidden="1">
      <c r="K919" s="26" t="s">
        <v>461</v>
      </c>
      <c r="L919" s="26" t="s">
        <v>461</v>
      </c>
    </row>
    <row r="920" hidden="1">
      <c r="K920" s="26" t="s">
        <v>461</v>
      </c>
      <c r="L920" s="26" t="s">
        <v>461</v>
      </c>
    </row>
    <row r="921" hidden="1">
      <c r="K921" s="26" t="s">
        <v>461</v>
      </c>
      <c r="L921" s="26" t="s">
        <v>461</v>
      </c>
    </row>
    <row r="922" hidden="1">
      <c r="K922" s="26" t="s">
        <v>461</v>
      </c>
      <c r="L922" s="26" t="s">
        <v>461</v>
      </c>
    </row>
    <row r="923" hidden="1">
      <c r="K923" s="26" t="s">
        <v>461</v>
      </c>
      <c r="L923" s="26" t="s">
        <v>461</v>
      </c>
    </row>
    <row r="924" hidden="1">
      <c r="K924" s="26" t="s">
        <v>461</v>
      </c>
      <c r="L924" s="26" t="s">
        <v>461</v>
      </c>
    </row>
    <row r="925" hidden="1">
      <c r="K925" s="26" t="s">
        <v>461</v>
      </c>
      <c r="L925" s="26" t="s">
        <v>461</v>
      </c>
    </row>
    <row r="926" hidden="1">
      <c r="K926" s="26" t="s">
        <v>461</v>
      </c>
      <c r="L926" s="26" t="s">
        <v>461</v>
      </c>
    </row>
    <row r="927" hidden="1">
      <c r="K927" s="26" t="s">
        <v>461</v>
      </c>
      <c r="L927" s="26" t="s">
        <v>461</v>
      </c>
    </row>
    <row r="928" hidden="1">
      <c r="K928" s="26" t="s">
        <v>461</v>
      </c>
      <c r="L928" s="26" t="s">
        <v>461</v>
      </c>
    </row>
    <row r="929" hidden="1">
      <c r="K929" s="26" t="s">
        <v>461</v>
      </c>
      <c r="L929" s="26" t="s">
        <v>461</v>
      </c>
    </row>
    <row r="930" hidden="1">
      <c r="K930" s="26" t="s">
        <v>461</v>
      </c>
      <c r="L930" s="26" t="s">
        <v>461</v>
      </c>
    </row>
    <row r="931" hidden="1">
      <c r="K931" s="26" t="s">
        <v>461</v>
      </c>
      <c r="L931" s="26" t="s">
        <v>461</v>
      </c>
    </row>
    <row r="932" hidden="1">
      <c r="K932" s="26" t="s">
        <v>461</v>
      </c>
      <c r="L932" s="26" t="s">
        <v>461</v>
      </c>
    </row>
    <row r="933" hidden="1">
      <c r="K933" s="26" t="s">
        <v>461</v>
      </c>
      <c r="L933" s="26" t="s">
        <v>461</v>
      </c>
    </row>
    <row r="934" hidden="1">
      <c r="K934" s="26" t="s">
        <v>461</v>
      </c>
      <c r="L934" s="26" t="s">
        <v>461</v>
      </c>
    </row>
    <row r="935" hidden="1">
      <c r="K935" s="26" t="s">
        <v>461</v>
      </c>
      <c r="L935" s="26" t="s">
        <v>461</v>
      </c>
    </row>
    <row r="936" hidden="1">
      <c r="K936" s="26" t="s">
        <v>461</v>
      </c>
      <c r="L936" s="26" t="s">
        <v>461</v>
      </c>
    </row>
    <row r="937" hidden="1">
      <c r="K937" s="26" t="s">
        <v>461</v>
      </c>
      <c r="L937" s="26" t="s">
        <v>461</v>
      </c>
    </row>
    <row r="938" hidden="1">
      <c r="K938" s="26" t="s">
        <v>461</v>
      </c>
      <c r="L938" s="26" t="s">
        <v>461</v>
      </c>
    </row>
    <row r="939" hidden="1">
      <c r="K939" s="26" t="s">
        <v>461</v>
      </c>
      <c r="L939" s="26" t="s">
        <v>461</v>
      </c>
    </row>
    <row r="940" hidden="1">
      <c r="K940" s="26" t="s">
        <v>461</v>
      </c>
      <c r="L940" s="26" t="s">
        <v>461</v>
      </c>
    </row>
    <row r="941" hidden="1">
      <c r="K941" s="26" t="s">
        <v>461</v>
      </c>
      <c r="L941" s="26" t="s">
        <v>461</v>
      </c>
    </row>
    <row r="942" hidden="1">
      <c r="K942" s="26" t="s">
        <v>461</v>
      </c>
      <c r="L942" s="26" t="s">
        <v>461</v>
      </c>
    </row>
    <row r="943" hidden="1">
      <c r="K943" s="26" t="s">
        <v>461</v>
      </c>
      <c r="L943" s="26" t="s">
        <v>461</v>
      </c>
    </row>
    <row r="944" hidden="1">
      <c r="K944" s="26" t="s">
        <v>461</v>
      </c>
      <c r="L944" s="26" t="s">
        <v>461</v>
      </c>
    </row>
    <row r="945" hidden="1">
      <c r="K945" s="26" t="s">
        <v>461</v>
      </c>
      <c r="L945" s="26" t="s">
        <v>461</v>
      </c>
    </row>
    <row r="946" hidden="1">
      <c r="K946" s="26" t="s">
        <v>461</v>
      </c>
      <c r="L946" s="26" t="s">
        <v>461</v>
      </c>
    </row>
    <row r="947" hidden="1">
      <c r="K947" s="26" t="s">
        <v>461</v>
      </c>
      <c r="L947" s="26" t="s">
        <v>461</v>
      </c>
    </row>
    <row r="948" hidden="1">
      <c r="K948" s="26" t="s">
        <v>461</v>
      </c>
      <c r="L948" s="26" t="s">
        <v>461</v>
      </c>
    </row>
    <row r="949" hidden="1">
      <c r="K949" s="26" t="s">
        <v>461</v>
      </c>
      <c r="L949" s="26" t="s">
        <v>461</v>
      </c>
    </row>
    <row r="950" hidden="1">
      <c r="K950" s="26" t="s">
        <v>461</v>
      </c>
      <c r="L950" s="26" t="s">
        <v>461</v>
      </c>
    </row>
    <row r="951" hidden="1">
      <c r="K951" s="26" t="s">
        <v>461</v>
      </c>
      <c r="L951" s="26" t="s">
        <v>461</v>
      </c>
    </row>
    <row r="952" hidden="1">
      <c r="K952" s="26" t="s">
        <v>461</v>
      </c>
      <c r="L952" s="26" t="s">
        <v>461</v>
      </c>
    </row>
    <row r="953" hidden="1">
      <c r="K953" s="26" t="s">
        <v>461</v>
      </c>
      <c r="L953" s="26" t="s">
        <v>461</v>
      </c>
    </row>
    <row r="954" hidden="1">
      <c r="K954" s="26" t="s">
        <v>461</v>
      </c>
      <c r="L954" s="26" t="s">
        <v>461</v>
      </c>
    </row>
    <row r="955" hidden="1">
      <c r="K955" s="26" t="s">
        <v>461</v>
      </c>
      <c r="L955" s="26" t="s">
        <v>461</v>
      </c>
    </row>
    <row r="956" hidden="1">
      <c r="K956" s="26" t="s">
        <v>461</v>
      </c>
      <c r="L956" s="26" t="s">
        <v>461</v>
      </c>
    </row>
    <row r="957" hidden="1">
      <c r="K957" s="26" t="s">
        <v>461</v>
      </c>
      <c r="L957" s="26" t="s">
        <v>461</v>
      </c>
    </row>
    <row r="958" hidden="1">
      <c r="K958" s="26" t="s">
        <v>461</v>
      </c>
      <c r="L958" s="26" t="s">
        <v>461</v>
      </c>
    </row>
    <row r="959" hidden="1">
      <c r="K959" s="26" t="s">
        <v>461</v>
      </c>
      <c r="L959" s="26" t="s">
        <v>461</v>
      </c>
    </row>
    <row r="960" hidden="1">
      <c r="K960" s="26" t="s">
        <v>461</v>
      </c>
      <c r="L960" s="26" t="s">
        <v>461</v>
      </c>
    </row>
    <row r="961" hidden="1">
      <c r="K961" s="26" t="s">
        <v>461</v>
      </c>
      <c r="L961" s="26" t="s">
        <v>461</v>
      </c>
    </row>
    <row r="962" hidden="1">
      <c r="K962" s="26" t="s">
        <v>461</v>
      </c>
      <c r="L962" s="26" t="s">
        <v>461</v>
      </c>
    </row>
    <row r="963" hidden="1">
      <c r="K963" s="26" t="s">
        <v>461</v>
      </c>
      <c r="L963" s="26" t="s">
        <v>461</v>
      </c>
    </row>
    <row r="964" hidden="1">
      <c r="K964" s="26" t="s">
        <v>461</v>
      </c>
      <c r="L964" s="26" t="s">
        <v>461</v>
      </c>
    </row>
    <row r="965" hidden="1">
      <c r="K965" s="26" t="s">
        <v>461</v>
      </c>
      <c r="L965" s="26" t="s">
        <v>461</v>
      </c>
    </row>
    <row r="966" hidden="1">
      <c r="K966" s="26" t="s">
        <v>461</v>
      </c>
      <c r="L966" s="26" t="s">
        <v>461</v>
      </c>
    </row>
    <row r="967" hidden="1">
      <c r="K967" s="26" t="s">
        <v>461</v>
      </c>
      <c r="L967" s="26" t="s">
        <v>461</v>
      </c>
    </row>
    <row r="968" hidden="1">
      <c r="K968" s="26" t="s">
        <v>461</v>
      </c>
      <c r="L968" s="26" t="s">
        <v>461</v>
      </c>
    </row>
    <row r="969" hidden="1">
      <c r="K969" s="26" t="s">
        <v>461</v>
      </c>
      <c r="L969" s="26" t="s">
        <v>461</v>
      </c>
    </row>
    <row r="970" hidden="1">
      <c r="K970" s="26" t="s">
        <v>461</v>
      </c>
      <c r="L970" s="26" t="s">
        <v>461</v>
      </c>
    </row>
    <row r="971" hidden="1">
      <c r="K971" s="26" t="s">
        <v>461</v>
      </c>
      <c r="L971" s="26" t="s">
        <v>461</v>
      </c>
    </row>
    <row r="972" hidden="1">
      <c r="K972" s="26" t="s">
        <v>461</v>
      </c>
      <c r="L972" s="26" t="s">
        <v>461</v>
      </c>
    </row>
    <row r="973" hidden="1">
      <c r="K973" s="26" t="s">
        <v>461</v>
      </c>
      <c r="L973" s="26" t="s">
        <v>461</v>
      </c>
    </row>
    <row r="974" hidden="1">
      <c r="K974" s="26" t="s">
        <v>461</v>
      </c>
      <c r="L974" s="26" t="s">
        <v>461</v>
      </c>
    </row>
    <row r="975" hidden="1">
      <c r="K975" s="26" t="s">
        <v>461</v>
      </c>
      <c r="L975" s="26" t="s">
        <v>461</v>
      </c>
    </row>
    <row r="976" hidden="1">
      <c r="K976" s="26" t="s">
        <v>461</v>
      </c>
      <c r="L976" s="26" t="s">
        <v>461</v>
      </c>
    </row>
    <row r="977" hidden="1">
      <c r="K977" s="26" t="s">
        <v>461</v>
      </c>
      <c r="L977" s="26" t="s">
        <v>461</v>
      </c>
    </row>
    <row r="978" hidden="1">
      <c r="K978" s="26" t="s">
        <v>461</v>
      </c>
      <c r="L978" s="26" t="s">
        <v>461</v>
      </c>
    </row>
    <row r="979" hidden="1">
      <c r="K979" s="26" t="s">
        <v>461</v>
      </c>
      <c r="L979" s="26" t="s">
        <v>461</v>
      </c>
    </row>
    <row r="980" hidden="1">
      <c r="K980" s="26" t="s">
        <v>461</v>
      </c>
      <c r="L980" s="26" t="s">
        <v>461</v>
      </c>
    </row>
    <row r="981" hidden="1">
      <c r="K981" s="26" t="s">
        <v>461</v>
      </c>
      <c r="L981" s="26" t="s">
        <v>461</v>
      </c>
    </row>
    <row r="982" hidden="1">
      <c r="K982" s="26" t="s">
        <v>461</v>
      </c>
      <c r="L982" s="26" t="s">
        <v>461</v>
      </c>
    </row>
    <row r="983" hidden="1">
      <c r="K983" s="26" t="s">
        <v>461</v>
      </c>
      <c r="L983" s="26" t="s">
        <v>461</v>
      </c>
    </row>
    <row r="984" hidden="1">
      <c r="K984" s="26" t="s">
        <v>461</v>
      </c>
      <c r="L984" s="26" t="s">
        <v>461</v>
      </c>
    </row>
    <row r="985" hidden="1">
      <c r="K985" s="26" t="s">
        <v>461</v>
      </c>
      <c r="L985" s="26" t="s">
        <v>461</v>
      </c>
    </row>
    <row r="986" hidden="1">
      <c r="K986" s="26" t="s">
        <v>461</v>
      </c>
      <c r="L986" s="26" t="s">
        <v>461</v>
      </c>
    </row>
    <row r="987" hidden="1">
      <c r="K987" s="26" t="s">
        <v>461</v>
      </c>
      <c r="L987" s="26" t="s">
        <v>461</v>
      </c>
    </row>
    <row r="988" hidden="1">
      <c r="K988" s="26" t="s">
        <v>461</v>
      </c>
      <c r="L988" s="26" t="s">
        <v>461</v>
      </c>
    </row>
    <row r="989" hidden="1">
      <c r="K989" s="26" t="s">
        <v>461</v>
      </c>
      <c r="L989" s="26" t="s">
        <v>461</v>
      </c>
    </row>
    <row r="990" hidden="1">
      <c r="K990" s="26" t="s">
        <v>461</v>
      </c>
      <c r="L990" s="26" t="s">
        <v>461</v>
      </c>
    </row>
    <row r="991" hidden="1">
      <c r="K991" s="26" t="s">
        <v>461</v>
      </c>
      <c r="L991" s="26" t="s">
        <v>461</v>
      </c>
    </row>
    <row r="992" hidden="1">
      <c r="K992" s="26" t="s">
        <v>461</v>
      </c>
      <c r="L992" s="26" t="s">
        <v>461</v>
      </c>
    </row>
    <row r="993" hidden="1">
      <c r="K993" s="26" t="s">
        <v>461</v>
      </c>
      <c r="L993" s="26" t="s">
        <v>461</v>
      </c>
    </row>
    <row r="994" hidden="1">
      <c r="K994" s="26" t="s">
        <v>461</v>
      </c>
      <c r="L994" s="26" t="s">
        <v>461</v>
      </c>
    </row>
    <row r="995" hidden="1">
      <c r="K995" s="26" t="s">
        <v>461</v>
      </c>
      <c r="L995" s="26" t="s">
        <v>461</v>
      </c>
    </row>
    <row r="996" hidden="1">
      <c r="K996" s="26" t="s">
        <v>461</v>
      </c>
      <c r="L996" s="26" t="s">
        <v>461</v>
      </c>
    </row>
    <row r="997" hidden="1">
      <c r="K997" s="26" t="s">
        <v>461</v>
      </c>
      <c r="L997" s="26" t="s">
        <v>461</v>
      </c>
    </row>
    <row r="998" hidden="1">
      <c r="K998" s="26" t="s">
        <v>461</v>
      </c>
      <c r="L998" s="26" t="s">
        <v>461</v>
      </c>
    </row>
    <row r="999" hidden="1">
      <c r="K999" s="26" t="s">
        <v>461</v>
      </c>
      <c r="L999" s="26" t="s">
        <v>461</v>
      </c>
    </row>
    <row r="1000" hidden="1">
      <c r="K1000" s="26" t="s">
        <v>461</v>
      </c>
      <c r="L1000" s="26" t="s">
        <v>461</v>
      </c>
    </row>
    <row r="1001">
      <c r="K1001" s="26" t="s">
        <v>461</v>
      </c>
      <c r="L1001" s="26" t="s">
        <v>461</v>
      </c>
    </row>
    <row r="1002">
      <c r="K1002" s="26" t="s">
        <v>461</v>
      </c>
      <c r="L1002" s="26" t="s">
        <v>461</v>
      </c>
    </row>
    <row r="1003">
      <c r="K1003" s="26" t="s">
        <v>461</v>
      </c>
      <c r="L1003" s="26" t="s">
        <v>461</v>
      </c>
    </row>
    <row r="1004">
      <c r="K1004" s="26" t="s">
        <v>461</v>
      </c>
      <c r="L1004" s="26" t="s">
        <v>461</v>
      </c>
    </row>
    <row r="1005">
      <c r="K1005" s="26" t="s">
        <v>461</v>
      </c>
      <c r="L1005" s="26" t="s">
        <v>461</v>
      </c>
    </row>
    <row r="1006">
      <c r="K1006" s="26" t="s">
        <v>461</v>
      </c>
      <c r="L1006" s="26" t="s">
        <v>461</v>
      </c>
    </row>
    <row r="1007">
      <c r="K1007" s="26" t="s">
        <v>461</v>
      </c>
      <c r="L1007" s="26" t="s">
        <v>461</v>
      </c>
    </row>
    <row r="1008">
      <c r="K1008" s="26" t="s">
        <v>461</v>
      </c>
      <c r="L1008" s="26" t="s">
        <v>461</v>
      </c>
    </row>
    <row r="1009">
      <c r="K1009" s="26" t="s">
        <v>461</v>
      </c>
      <c r="L1009" s="26" t="s">
        <v>461</v>
      </c>
    </row>
    <row r="1010">
      <c r="K1010" s="26" t="s">
        <v>461</v>
      </c>
      <c r="L1010" s="26" t="s">
        <v>461</v>
      </c>
    </row>
    <row r="1011">
      <c r="K1011" s="26" t="s">
        <v>461</v>
      </c>
      <c r="L1011" s="26" t="s">
        <v>461</v>
      </c>
    </row>
    <row r="1012">
      <c r="K1012" s="26" t="s">
        <v>461</v>
      </c>
      <c r="L1012" s="26" t="s">
        <v>461</v>
      </c>
    </row>
    <row r="1013">
      <c r="K1013" s="26" t="s">
        <v>461</v>
      </c>
      <c r="L1013" s="26" t="s">
        <v>461</v>
      </c>
    </row>
    <row r="1014">
      <c r="K1014" s="26" t="s">
        <v>461</v>
      </c>
      <c r="L1014" s="26" t="s">
        <v>461</v>
      </c>
    </row>
    <row r="1015">
      <c r="K1015" s="26" t="s">
        <v>461</v>
      </c>
      <c r="L1015" s="26" t="s">
        <v>461</v>
      </c>
    </row>
    <row r="1016">
      <c r="K1016" s="26" t="s">
        <v>461</v>
      </c>
      <c r="L1016" s="26" t="s">
        <v>461</v>
      </c>
    </row>
    <row r="1017">
      <c r="K1017" s="26" t="s">
        <v>461</v>
      </c>
      <c r="L1017" s="26" t="s">
        <v>461</v>
      </c>
    </row>
    <row r="1018">
      <c r="K1018" s="26" t="s">
        <v>461</v>
      </c>
      <c r="L1018" s="26" t="s">
        <v>461</v>
      </c>
    </row>
    <row r="1019">
      <c r="K1019" s="26" t="s">
        <v>461</v>
      </c>
      <c r="L1019" s="26" t="s">
        <v>461</v>
      </c>
    </row>
    <row r="1020">
      <c r="K1020" s="26" t="s">
        <v>461</v>
      </c>
      <c r="L1020" s="26" t="s">
        <v>461</v>
      </c>
    </row>
    <row r="1021">
      <c r="K1021" s="26" t="s">
        <v>461</v>
      </c>
      <c r="L1021" s="26" t="s">
        <v>461</v>
      </c>
    </row>
    <row r="1022">
      <c r="K1022" s="26" t="s">
        <v>461</v>
      </c>
      <c r="L1022" s="26" t="s">
        <v>461</v>
      </c>
    </row>
    <row r="1023">
      <c r="K1023" s="26" t="s">
        <v>461</v>
      </c>
      <c r="L1023" s="26" t="s">
        <v>461</v>
      </c>
    </row>
    <row r="1024">
      <c r="K1024" s="26" t="s">
        <v>461</v>
      </c>
      <c r="L1024" s="26" t="s">
        <v>461</v>
      </c>
    </row>
    <row r="1025">
      <c r="K1025" s="26" t="s">
        <v>461</v>
      </c>
      <c r="L1025" s="26" t="s">
        <v>461</v>
      </c>
    </row>
    <row r="1026">
      <c r="K1026" s="26" t="s">
        <v>461</v>
      </c>
      <c r="L1026" s="26" t="s">
        <v>461</v>
      </c>
    </row>
    <row r="1027">
      <c r="K1027" s="26" t="s">
        <v>461</v>
      </c>
      <c r="L1027" s="26" t="s">
        <v>461</v>
      </c>
    </row>
    <row r="1028">
      <c r="K1028" s="26" t="s">
        <v>461</v>
      </c>
      <c r="L1028" s="26" t="s">
        <v>461</v>
      </c>
    </row>
    <row r="1029">
      <c r="K1029" s="26" t="s">
        <v>461</v>
      </c>
      <c r="L1029" s="26" t="s">
        <v>461</v>
      </c>
    </row>
    <row r="1030">
      <c r="K1030" s="26" t="s">
        <v>461</v>
      </c>
      <c r="L1030" s="26" t="s">
        <v>461</v>
      </c>
    </row>
    <row r="1031">
      <c r="K1031" s="26" t="s">
        <v>461</v>
      </c>
      <c r="L1031" s="26" t="s">
        <v>461</v>
      </c>
    </row>
    <row r="1032">
      <c r="K1032" s="26" t="s">
        <v>461</v>
      </c>
      <c r="L1032" s="26" t="s">
        <v>461</v>
      </c>
    </row>
    <row r="1033">
      <c r="K1033" s="26" t="s">
        <v>461</v>
      </c>
      <c r="L1033" s="26" t="s">
        <v>461</v>
      </c>
    </row>
    <row r="1034">
      <c r="K1034" s="26" t="s">
        <v>461</v>
      </c>
      <c r="L1034" s="26" t="s">
        <v>461</v>
      </c>
    </row>
    <row r="1035">
      <c r="K1035" s="26" t="s">
        <v>461</v>
      </c>
      <c r="L1035" s="26" t="s">
        <v>461</v>
      </c>
    </row>
    <row r="1036">
      <c r="K1036" s="26" t="s">
        <v>461</v>
      </c>
      <c r="L1036" s="26" t="s">
        <v>461</v>
      </c>
    </row>
    <row r="1037">
      <c r="K1037" s="26" t="s">
        <v>461</v>
      </c>
      <c r="L1037" s="26" t="s">
        <v>461</v>
      </c>
    </row>
    <row r="1038">
      <c r="K1038" s="26" t="s">
        <v>461</v>
      </c>
      <c r="L1038" s="26" t="s">
        <v>461</v>
      </c>
    </row>
    <row r="1039">
      <c r="K1039" s="26" t="s">
        <v>461</v>
      </c>
      <c r="L1039" s="26" t="s">
        <v>461</v>
      </c>
    </row>
    <row r="1040">
      <c r="K1040" s="26" t="s">
        <v>461</v>
      </c>
      <c r="L1040" s="26" t="s">
        <v>461</v>
      </c>
    </row>
    <row r="1041">
      <c r="K1041" s="26" t="s">
        <v>461</v>
      </c>
      <c r="L1041" s="26" t="s">
        <v>461</v>
      </c>
    </row>
    <row r="1042">
      <c r="K1042" s="26" t="s">
        <v>461</v>
      </c>
      <c r="L1042" s="26" t="s">
        <v>461</v>
      </c>
    </row>
    <row r="1043">
      <c r="K1043" s="26" t="s">
        <v>461</v>
      </c>
      <c r="L1043" s="26" t="s">
        <v>461</v>
      </c>
    </row>
    <row r="1044">
      <c r="K1044" s="26" t="s">
        <v>461</v>
      </c>
      <c r="L1044" s="26" t="s">
        <v>461</v>
      </c>
    </row>
    <row r="1045">
      <c r="K1045" s="26" t="s">
        <v>461</v>
      </c>
      <c r="L1045" s="26" t="s">
        <v>461</v>
      </c>
    </row>
    <row r="1046">
      <c r="K1046" s="26" t="s">
        <v>461</v>
      </c>
      <c r="L1046" s="26" t="s">
        <v>461</v>
      </c>
    </row>
    <row r="1047">
      <c r="K1047" s="26" t="s">
        <v>461</v>
      </c>
      <c r="L1047" s="26" t="s">
        <v>461</v>
      </c>
    </row>
    <row r="1048">
      <c r="K1048" s="26" t="s">
        <v>461</v>
      </c>
      <c r="L1048" s="26" t="s">
        <v>461</v>
      </c>
    </row>
    <row r="1049">
      <c r="K1049" s="26" t="s">
        <v>461</v>
      </c>
      <c r="L1049" s="26" t="s">
        <v>461</v>
      </c>
    </row>
    <row r="1050">
      <c r="K1050" s="26" t="s">
        <v>461</v>
      </c>
      <c r="L1050" s="26" t="s">
        <v>461</v>
      </c>
    </row>
    <row r="1051">
      <c r="K1051" s="26" t="s">
        <v>461</v>
      </c>
      <c r="L1051" s="26" t="s">
        <v>461</v>
      </c>
    </row>
    <row r="1052">
      <c r="K1052" s="26" t="s">
        <v>461</v>
      </c>
      <c r="L1052" s="26" t="s">
        <v>461</v>
      </c>
    </row>
    <row r="1053">
      <c r="K1053" s="26" t="s">
        <v>461</v>
      </c>
      <c r="L1053" s="26" t="s">
        <v>461</v>
      </c>
    </row>
    <row r="1054">
      <c r="K1054" s="26" t="s">
        <v>461</v>
      </c>
      <c r="L1054" s="26" t="s">
        <v>461</v>
      </c>
    </row>
    <row r="1055">
      <c r="K1055" s="26" t="s">
        <v>461</v>
      </c>
      <c r="L1055" s="26" t="s">
        <v>461</v>
      </c>
    </row>
    <row r="1056">
      <c r="K1056" s="26" t="s">
        <v>461</v>
      </c>
      <c r="L1056" s="26" t="s">
        <v>461</v>
      </c>
    </row>
    <row r="1057">
      <c r="K1057" s="26" t="s">
        <v>461</v>
      </c>
      <c r="L1057" s="26" t="s">
        <v>461</v>
      </c>
    </row>
    <row r="1058">
      <c r="K1058" s="26" t="s">
        <v>461</v>
      </c>
      <c r="L1058" s="26" t="s">
        <v>461</v>
      </c>
    </row>
    <row r="1059">
      <c r="K1059" s="26" t="s">
        <v>461</v>
      </c>
      <c r="L1059" s="26" t="s">
        <v>461</v>
      </c>
    </row>
    <row r="1060">
      <c r="K1060" s="26" t="s">
        <v>461</v>
      </c>
      <c r="L1060" s="26" t="s">
        <v>461</v>
      </c>
    </row>
    <row r="1061">
      <c r="K1061" s="26" t="s">
        <v>461</v>
      </c>
      <c r="L1061" s="26" t="s">
        <v>461</v>
      </c>
    </row>
    <row r="1062">
      <c r="K1062" s="26" t="s">
        <v>461</v>
      </c>
      <c r="L1062" s="26" t="s">
        <v>461</v>
      </c>
    </row>
    <row r="1063">
      <c r="K1063" s="26" t="s">
        <v>461</v>
      </c>
      <c r="L1063" s="26" t="s">
        <v>461</v>
      </c>
    </row>
    <row r="1064">
      <c r="K1064" s="26" t="s">
        <v>461</v>
      </c>
      <c r="L1064" s="26" t="s">
        <v>461</v>
      </c>
    </row>
    <row r="1065">
      <c r="K1065" s="26" t="s">
        <v>461</v>
      </c>
      <c r="L1065" s="26" t="s">
        <v>461</v>
      </c>
    </row>
    <row r="1066">
      <c r="K1066" s="26" t="s">
        <v>461</v>
      </c>
      <c r="L1066" s="26" t="s">
        <v>461</v>
      </c>
    </row>
    <row r="1067">
      <c r="K1067" s="26" t="s">
        <v>461</v>
      </c>
      <c r="L1067" s="26" t="s">
        <v>461</v>
      </c>
    </row>
    <row r="1068">
      <c r="K1068" s="26" t="s">
        <v>461</v>
      </c>
      <c r="L1068" s="26" t="s">
        <v>461</v>
      </c>
    </row>
    <row r="1069">
      <c r="K1069" s="26" t="s">
        <v>461</v>
      </c>
      <c r="L1069" s="26" t="s">
        <v>461</v>
      </c>
    </row>
    <row r="1070">
      <c r="K1070" s="26" t="s">
        <v>461</v>
      </c>
      <c r="L1070" s="26" t="s">
        <v>461</v>
      </c>
    </row>
    <row r="1071">
      <c r="K1071" s="26" t="s">
        <v>461</v>
      </c>
      <c r="L1071" s="26" t="s">
        <v>461</v>
      </c>
    </row>
    <row r="1072">
      <c r="K1072" s="26" t="s">
        <v>461</v>
      </c>
      <c r="L1072" s="26" t="s">
        <v>461</v>
      </c>
    </row>
    <row r="1073">
      <c r="K1073" s="26" t="s">
        <v>461</v>
      </c>
      <c r="L1073" s="26" t="s">
        <v>461</v>
      </c>
    </row>
    <row r="1074">
      <c r="K1074" s="26" t="s">
        <v>461</v>
      </c>
      <c r="L1074" s="26" t="s">
        <v>461</v>
      </c>
    </row>
    <row r="1075">
      <c r="K1075" s="26" t="s">
        <v>461</v>
      </c>
      <c r="L1075" s="26" t="s">
        <v>461</v>
      </c>
    </row>
    <row r="1076">
      <c r="K1076" s="26" t="s">
        <v>461</v>
      </c>
      <c r="L1076" s="26" t="s">
        <v>461</v>
      </c>
    </row>
    <row r="1077">
      <c r="K1077" s="26" t="s">
        <v>461</v>
      </c>
      <c r="L1077" s="26" t="s">
        <v>461</v>
      </c>
    </row>
    <row r="1078">
      <c r="K1078" s="26" t="s">
        <v>461</v>
      </c>
      <c r="L1078" s="26" t="s">
        <v>461</v>
      </c>
    </row>
    <row r="1079">
      <c r="K1079" s="26" t="s">
        <v>461</v>
      </c>
      <c r="L1079" s="26" t="s">
        <v>461</v>
      </c>
    </row>
    <row r="1080">
      <c r="K1080" s="26" t="s">
        <v>461</v>
      </c>
      <c r="L1080" s="26" t="s">
        <v>461</v>
      </c>
    </row>
    <row r="1081">
      <c r="K1081" s="26" t="s">
        <v>461</v>
      </c>
      <c r="L1081" s="26" t="s">
        <v>461</v>
      </c>
    </row>
    <row r="1082">
      <c r="K1082" s="26" t="s">
        <v>461</v>
      </c>
      <c r="L1082" s="26" t="s">
        <v>461</v>
      </c>
    </row>
    <row r="1083">
      <c r="K1083" s="26" t="s">
        <v>461</v>
      </c>
      <c r="L1083" s="26" t="s">
        <v>461</v>
      </c>
    </row>
    <row r="1084">
      <c r="K1084" s="26" t="s">
        <v>461</v>
      </c>
      <c r="L1084" s="26" t="s">
        <v>461</v>
      </c>
    </row>
    <row r="1085">
      <c r="K1085" s="26" t="s">
        <v>461</v>
      </c>
      <c r="L1085" s="26" t="s">
        <v>461</v>
      </c>
    </row>
    <row r="1086">
      <c r="K1086" s="26" t="s">
        <v>461</v>
      </c>
      <c r="L1086" s="26" t="s">
        <v>461</v>
      </c>
    </row>
    <row r="1087">
      <c r="K1087" s="26" t="s">
        <v>461</v>
      </c>
      <c r="L1087" s="26" t="s">
        <v>461</v>
      </c>
    </row>
    <row r="1088">
      <c r="K1088" s="26" t="s">
        <v>461</v>
      </c>
      <c r="L1088" s="26" t="s">
        <v>461</v>
      </c>
    </row>
    <row r="1089">
      <c r="K1089" s="26" t="s">
        <v>461</v>
      </c>
      <c r="L1089" s="26" t="s">
        <v>461</v>
      </c>
    </row>
    <row r="1090">
      <c r="K1090" s="26" t="s">
        <v>461</v>
      </c>
      <c r="L1090" s="26" t="s">
        <v>461</v>
      </c>
    </row>
    <row r="1091">
      <c r="K1091" s="26" t="s">
        <v>461</v>
      </c>
      <c r="L1091" s="26" t="s">
        <v>461</v>
      </c>
    </row>
    <row r="1092">
      <c r="K1092" s="26" t="s">
        <v>461</v>
      </c>
      <c r="L1092" s="26" t="s">
        <v>461</v>
      </c>
    </row>
    <row r="1093">
      <c r="K1093" s="26" t="s">
        <v>461</v>
      </c>
      <c r="L1093" s="26" t="s">
        <v>461</v>
      </c>
    </row>
    <row r="1094">
      <c r="K1094" s="26" t="s">
        <v>461</v>
      </c>
      <c r="L1094" s="26" t="s">
        <v>461</v>
      </c>
    </row>
    <row r="1095">
      <c r="K1095" s="26" t="s">
        <v>461</v>
      </c>
      <c r="L1095" s="26" t="s">
        <v>461</v>
      </c>
    </row>
    <row r="1096">
      <c r="K1096" s="26" t="s">
        <v>461</v>
      </c>
      <c r="L1096" s="26" t="s">
        <v>461</v>
      </c>
    </row>
    <row r="1097">
      <c r="K1097" s="26" t="s">
        <v>461</v>
      </c>
      <c r="L1097" s="26" t="s">
        <v>461</v>
      </c>
    </row>
    <row r="1098">
      <c r="K1098" s="26" t="s">
        <v>461</v>
      </c>
      <c r="L1098" s="26" t="s">
        <v>461</v>
      </c>
    </row>
    <row r="1099">
      <c r="K1099" s="26" t="s">
        <v>461</v>
      </c>
      <c r="L1099" s="26" t="s">
        <v>461</v>
      </c>
    </row>
    <row r="1100">
      <c r="K1100" s="26" t="s">
        <v>461</v>
      </c>
      <c r="L1100" s="26" t="s">
        <v>461</v>
      </c>
    </row>
    <row r="1101">
      <c r="K1101" s="26" t="s">
        <v>461</v>
      </c>
      <c r="L1101" s="26" t="s">
        <v>461</v>
      </c>
    </row>
    <row r="1102">
      <c r="K1102" s="26" t="s">
        <v>461</v>
      </c>
      <c r="L1102" s="26" t="s">
        <v>461</v>
      </c>
    </row>
    <row r="1103">
      <c r="K1103" s="26" t="s">
        <v>461</v>
      </c>
      <c r="L1103" s="26" t="s">
        <v>461</v>
      </c>
    </row>
    <row r="1104">
      <c r="K1104" s="26" t="s">
        <v>461</v>
      </c>
      <c r="L1104" s="26" t="s">
        <v>461</v>
      </c>
    </row>
    <row r="1105">
      <c r="K1105" s="26" t="s">
        <v>461</v>
      </c>
      <c r="L1105" s="26" t="s">
        <v>461</v>
      </c>
    </row>
    <row r="1106">
      <c r="K1106" s="26" t="s">
        <v>461</v>
      </c>
      <c r="L1106" s="26" t="s">
        <v>461</v>
      </c>
    </row>
    <row r="1107">
      <c r="K1107" s="26" t="s">
        <v>461</v>
      </c>
      <c r="L1107" s="26" t="s">
        <v>461</v>
      </c>
    </row>
    <row r="1108">
      <c r="K1108" s="26" t="s">
        <v>461</v>
      </c>
      <c r="L1108" s="26" t="s">
        <v>461</v>
      </c>
    </row>
    <row r="1109">
      <c r="K1109" s="26" t="s">
        <v>461</v>
      </c>
      <c r="L1109" s="26" t="s">
        <v>461</v>
      </c>
    </row>
    <row r="1110">
      <c r="K1110" s="26" t="s">
        <v>461</v>
      </c>
      <c r="L1110" s="26" t="s">
        <v>461</v>
      </c>
    </row>
    <row r="1111">
      <c r="K1111" s="26" t="s">
        <v>461</v>
      </c>
      <c r="L1111" s="26" t="s">
        <v>461</v>
      </c>
    </row>
    <row r="1112">
      <c r="K1112" s="26" t="s">
        <v>461</v>
      </c>
      <c r="L1112" s="26" t="s">
        <v>461</v>
      </c>
    </row>
    <row r="1113">
      <c r="K1113" s="26" t="s">
        <v>461</v>
      </c>
      <c r="L1113" s="26" t="s">
        <v>461</v>
      </c>
    </row>
    <row r="1114">
      <c r="K1114" s="26" t="s">
        <v>461</v>
      </c>
      <c r="L1114" s="26" t="s">
        <v>461</v>
      </c>
    </row>
    <row r="1115">
      <c r="K1115" s="26" t="s">
        <v>461</v>
      </c>
      <c r="L1115" s="26" t="s">
        <v>461</v>
      </c>
    </row>
    <row r="1116">
      <c r="K1116" s="26" t="s">
        <v>461</v>
      </c>
      <c r="L1116" s="26" t="s">
        <v>461</v>
      </c>
    </row>
    <row r="1117">
      <c r="K1117" s="26" t="s">
        <v>461</v>
      </c>
      <c r="L1117" s="26" t="s">
        <v>461</v>
      </c>
    </row>
    <row r="1118">
      <c r="K1118" s="26" t="s">
        <v>461</v>
      </c>
      <c r="L1118" s="26" t="s">
        <v>461</v>
      </c>
    </row>
    <row r="1119">
      <c r="K1119" s="26" t="s">
        <v>461</v>
      </c>
      <c r="L1119" s="26" t="s">
        <v>461</v>
      </c>
    </row>
    <row r="1120">
      <c r="K1120" s="26" t="s">
        <v>461</v>
      </c>
      <c r="L1120" s="26" t="s">
        <v>461</v>
      </c>
    </row>
    <row r="1121">
      <c r="K1121" s="26" t="s">
        <v>461</v>
      </c>
      <c r="L1121" s="26" t="s">
        <v>461</v>
      </c>
    </row>
    <row r="1122">
      <c r="K1122" s="26" t="s">
        <v>461</v>
      </c>
      <c r="L1122" s="26" t="s">
        <v>461</v>
      </c>
    </row>
    <row r="1123">
      <c r="K1123" s="26" t="s">
        <v>461</v>
      </c>
      <c r="L1123" s="26" t="s">
        <v>461</v>
      </c>
    </row>
    <row r="1124">
      <c r="K1124" s="26" t="s">
        <v>461</v>
      </c>
      <c r="L1124" s="26" t="s">
        <v>461</v>
      </c>
    </row>
    <row r="1125">
      <c r="K1125" s="26" t="s">
        <v>461</v>
      </c>
      <c r="L1125" s="26" t="s">
        <v>461</v>
      </c>
    </row>
    <row r="1126">
      <c r="K1126" s="26" t="s">
        <v>461</v>
      </c>
      <c r="L1126" s="26" t="s">
        <v>461</v>
      </c>
    </row>
    <row r="1127">
      <c r="K1127" s="26" t="s">
        <v>461</v>
      </c>
      <c r="L1127" s="26" t="s">
        <v>461</v>
      </c>
    </row>
    <row r="1128">
      <c r="K1128" s="26" t="s">
        <v>461</v>
      </c>
      <c r="L1128" s="26" t="s">
        <v>461</v>
      </c>
    </row>
    <row r="1129">
      <c r="K1129" s="26" t="s">
        <v>461</v>
      </c>
      <c r="L1129" s="26" t="s">
        <v>461</v>
      </c>
    </row>
    <row r="1130">
      <c r="K1130" s="26" t="s">
        <v>461</v>
      </c>
      <c r="L1130" s="26" t="s">
        <v>461</v>
      </c>
    </row>
    <row r="1131">
      <c r="K1131" s="26" t="s">
        <v>461</v>
      </c>
      <c r="L1131" s="26" t="s">
        <v>461</v>
      </c>
    </row>
    <row r="1132">
      <c r="K1132" s="26" t="s">
        <v>461</v>
      </c>
      <c r="L1132" s="26" t="s">
        <v>461</v>
      </c>
    </row>
    <row r="1133">
      <c r="K1133" s="26" t="s">
        <v>461</v>
      </c>
      <c r="L1133" s="26" t="s">
        <v>461</v>
      </c>
    </row>
    <row r="1134">
      <c r="K1134" s="26" t="s">
        <v>461</v>
      </c>
      <c r="L1134" s="26" t="s">
        <v>461</v>
      </c>
    </row>
    <row r="1135">
      <c r="K1135" s="26" t="s">
        <v>461</v>
      </c>
      <c r="L1135" s="26" t="s">
        <v>461</v>
      </c>
    </row>
    <row r="1136">
      <c r="K1136" s="26" t="s">
        <v>461</v>
      </c>
      <c r="L1136" s="26" t="s">
        <v>461</v>
      </c>
    </row>
    <row r="1137">
      <c r="K1137" s="26" t="s">
        <v>461</v>
      </c>
      <c r="L1137" s="26" t="s">
        <v>461</v>
      </c>
    </row>
    <row r="1138">
      <c r="K1138" s="26" t="s">
        <v>461</v>
      </c>
      <c r="L1138" s="26" t="s">
        <v>461</v>
      </c>
    </row>
    <row r="1139">
      <c r="K1139" s="26" t="s">
        <v>461</v>
      </c>
      <c r="L1139" s="26" t="s">
        <v>461</v>
      </c>
    </row>
    <row r="1140">
      <c r="K1140" s="26" t="s">
        <v>461</v>
      </c>
      <c r="L1140" s="26" t="s">
        <v>461</v>
      </c>
    </row>
    <row r="1141">
      <c r="K1141" s="26" t="s">
        <v>461</v>
      </c>
      <c r="L1141" s="26" t="s">
        <v>461</v>
      </c>
    </row>
    <row r="1142">
      <c r="K1142" s="26" t="s">
        <v>461</v>
      </c>
      <c r="L1142" s="26" t="s">
        <v>461</v>
      </c>
    </row>
    <row r="1143">
      <c r="K1143" s="26" t="s">
        <v>461</v>
      </c>
      <c r="L1143" s="26" t="s">
        <v>461</v>
      </c>
    </row>
    <row r="1144">
      <c r="K1144" s="26" t="s">
        <v>461</v>
      </c>
      <c r="L1144" s="26" t="s">
        <v>461</v>
      </c>
    </row>
    <row r="1145">
      <c r="K1145" s="26" t="s">
        <v>461</v>
      </c>
      <c r="L1145" s="26" t="s">
        <v>461</v>
      </c>
    </row>
    <row r="1146">
      <c r="K1146" s="26" t="s">
        <v>461</v>
      </c>
      <c r="L1146" s="26" t="s">
        <v>461</v>
      </c>
    </row>
    <row r="1147">
      <c r="K1147" s="26" t="s">
        <v>461</v>
      </c>
      <c r="L1147" s="26" t="s">
        <v>461</v>
      </c>
    </row>
    <row r="1148">
      <c r="K1148" s="26" t="s">
        <v>461</v>
      </c>
      <c r="L1148" s="26" t="s">
        <v>461</v>
      </c>
    </row>
    <row r="1149">
      <c r="K1149" s="26" t="s">
        <v>461</v>
      </c>
      <c r="L1149" s="26" t="s">
        <v>461</v>
      </c>
    </row>
    <row r="1150">
      <c r="K1150" s="26" t="s">
        <v>461</v>
      </c>
      <c r="L1150" s="26" t="s">
        <v>461</v>
      </c>
    </row>
    <row r="1151">
      <c r="K1151" s="26" t="s">
        <v>461</v>
      </c>
      <c r="L1151" s="26" t="s">
        <v>461</v>
      </c>
    </row>
    <row r="1152">
      <c r="K1152" s="26" t="s">
        <v>461</v>
      </c>
      <c r="L1152" s="26" t="s">
        <v>461</v>
      </c>
    </row>
    <row r="1153">
      <c r="K1153" s="26" t="s">
        <v>461</v>
      </c>
      <c r="L1153" s="26" t="s">
        <v>461</v>
      </c>
    </row>
    <row r="1154">
      <c r="K1154" s="26" t="s">
        <v>461</v>
      </c>
      <c r="L1154" s="26" t="s">
        <v>461</v>
      </c>
    </row>
    <row r="1155">
      <c r="K1155" s="26" t="s">
        <v>461</v>
      </c>
      <c r="L1155" s="26" t="s">
        <v>461</v>
      </c>
    </row>
    <row r="1156">
      <c r="K1156" s="26" t="s">
        <v>461</v>
      </c>
      <c r="L1156" s="26" t="s">
        <v>461</v>
      </c>
    </row>
    <row r="1157">
      <c r="K1157" s="26" t="s">
        <v>461</v>
      </c>
      <c r="L1157" s="26" t="s">
        <v>461</v>
      </c>
    </row>
    <row r="1158">
      <c r="K1158" s="26" t="s">
        <v>461</v>
      </c>
      <c r="L1158" s="26" t="s">
        <v>461</v>
      </c>
    </row>
    <row r="1159">
      <c r="K1159" s="26" t="s">
        <v>461</v>
      </c>
      <c r="L1159" s="26" t="s">
        <v>461</v>
      </c>
    </row>
    <row r="1160">
      <c r="K1160" s="26" t="s">
        <v>461</v>
      </c>
      <c r="L1160" s="26" t="s">
        <v>461</v>
      </c>
    </row>
    <row r="1161">
      <c r="K1161" s="26" t="s">
        <v>461</v>
      </c>
      <c r="L1161" s="26" t="s">
        <v>461</v>
      </c>
    </row>
    <row r="1162">
      <c r="K1162" s="26" t="s">
        <v>461</v>
      </c>
      <c r="L1162" s="26" t="s">
        <v>461</v>
      </c>
    </row>
    <row r="1163">
      <c r="K1163" s="26" t="s">
        <v>461</v>
      </c>
      <c r="L1163" s="26" t="s">
        <v>461</v>
      </c>
    </row>
    <row r="1164">
      <c r="K1164" s="26" t="s">
        <v>461</v>
      </c>
      <c r="L1164" s="26" t="s">
        <v>461</v>
      </c>
    </row>
    <row r="1165">
      <c r="K1165" s="26" t="s">
        <v>461</v>
      </c>
      <c r="L1165" s="26" t="s">
        <v>461</v>
      </c>
    </row>
    <row r="1166">
      <c r="K1166" s="26" t="s">
        <v>461</v>
      </c>
      <c r="L1166" s="26" t="s">
        <v>461</v>
      </c>
    </row>
    <row r="1167">
      <c r="K1167" s="26" t="s">
        <v>461</v>
      </c>
      <c r="L1167" s="26" t="s">
        <v>461</v>
      </c>
    </row>
    <row r="1168">
      <c r="K1168" s="26" t="s">
        <v>461</v>
      </c>
      <c r="L1168" s="26" t="s">
        <v>461</v>
      </c>
    </row>
    <row r="1169">
      <c r="K1169" s="26" t="s">
        <v>461</v>
      </c>
      <c r="L1169" s="26" t="s">
        <v>461</v>
      </c>
    </row>
    <row r="1170">
      <c r="K1170" s="26" t="s">
        <v>461</v>
      </c>
      <c r="L1170" s="26" t="s">
        <v>461</v>
      </c>
    </row>
    <row r="1171">
      <c r="K1171" s="26" t="s">
        <v>461</v>
      </c>
      <c r="L1171" s="26" t="s">
        <v>461</v>
      </c>
    </row>
    <row r="1172">
      <c r="K1172" s="26" t="s">
        <v>461</v>
      </c>
      <c r="L1172" s="26" t="s">
        <v>461</v>
      </c>
    </row>
    <row r="1173">
      <c r="K1173" s="26" t="s">
        <v>461</v>
      </c>
      <c r="L1173" s="26" t="s">
        <v>461</v>
      </c>
    </row>
    <row r="1174">
      <c r="K1174" s="26" t="s">
        <v>461</v>
      </c>
      <c r="L1174" s="26" t="s">
        <v>461</v>
      </c>
    </row>
    <row r="1175">
      <c r="K1175" s="26" t="s">
        <v>461</v>
      </c>
      <c r="L1175" s="26" t="s">
        <v>461</v>
      </c>
    </row>
    <row r="1176">
      <c r="K1176" s="26" t="s">
        <v>461</v>
      </c>
      <c r="L1176" s="26" t="s">
        <v>461</v>
      </c>
    </row>
    <row r="1177">
      <c r="K1177" s="26" t="s">
        <v>461</v>
      </c>
      <c r="L1177" s="26" t="s">
        <v>461</v>
      </c>
    </row>
    <row r="1178">
      <c r="K1178" s="26" t="s">
        <v>461</v>
      </c>
      <c r="L1178" s="26" t="s">
        <v>461</v>
      </c>
    </row>
    <row r="1179">
      <c r="K1179" s="26" t="s">
        <v>461</v>
      </c>
      <c r="L1179" s="26" t="s">
        <v>461</v>
      </c>
    </row>
    <row r="1180">
      <c r="K1180" s="26" t="s">
        <v>461</v>
      </c>
      <c r="L1180" s="26" t="s">
        <v>461</v>
      </c>
    </row>
    <row r="1181">
      <c r="K1181" s="26" t="s">
        <v>461</v>
      </c>
      <c r="L1181" s="26" t="s">
        <v>461</v>
      </c>
    </row>
    <row r="1182">
      <c r="K1182" s="26" t="s">
        <v>461</v>
      </c>
      <c r="L1182" s="26" t="s">
        <v>461</v>
      </c>
    </row>
    <row r="1183">
      <c r="K1183" s="26" t="s">
        <v>461</v>
      </c>
      <c r="L1183" s="26" t="s">
        <v>461</v>
      </c>
    </row>
    <row r="1184">
      <c r="K1184" s="26" t="s">
        <v>461</v>
      </c>
      <c r="L1184" s="26" t="s">
        <v>461</v>
      </c>
    </row>
    <row r="1185">
      <c r="K1185" s="26" t="s">
        <v>461</v>
      </c>
      <c r="L1185" s="26" t="s">
        <v>461</v>
      </c>
    </row>
    <row r="1186">
      <c r="K1186" s="26" t="s">
        <v>461</v>
      </c>
      <c r="L1186" s="26" t="s">
        <v>461</v>
      </c>
    </row>
    <row r="1187">
      <c r="K1187" s="26" t="s">
        <v>461</v>
      </c>
      <c r="L1187" s="26" t="s">
        <v>461</v>
      </c>
    </row>
    <row r="1188">
      <c r="K1188" s="26" t="s">
        <v>461</v>
      </c>
      <c r="L1188" s="26" t="s">
        <v>461</v>
      </c>
    </row>
    <row r="1189">
      <c r="K1189" s="26" t="s">
        <v>461</v>
      </c>
      <c r="L1189" s="26" t="s">
        <v>461</v>
      </c>
    </row>
    <row r="1190">
      <c r="K1190" s="26" t="s">
        <v>461</v>
      </c>
      <c r="L1190" s="26" t="s">
        <v>461</v>
      </c>
    </row>
    <row r="1191">
      <c r="K1191" s="26" t="s">
        <v>461</v>
      </c>
      <c r="L1191" s="26" t="s">
        <v>461</v>
      </c>
    </row>
    <row r="1192">
      <c r="K1192" s="26" t="s">
        <v>461</v>
      </c>
      <c r="L1192" s="26" t="s">
        <v>461</v>
      </c>
    </row>
    <row r="1193">
      <c r="K1193" s="26" t="s">
        <v>461</v>
      </c>
      <c r="L1193" s="26" t="s">
        <v>461</v>
      </c>
    </row>
    <row r="1194">
      <c r="K1194" s="26" t="s">
        <v>461</v>
      </c>
      <c r="L1194" s="26" t="s">
        <v>461</v>
      </c>
    </row>
    <row r="1195">
      <c r="K1195" s="26" t="s">
        <v>461</v>
      </c>
      <c r="L1195" s="26" t="s">
        <v>461</v>
      </c>
    </row>
    <row r="1196">
      <c r="K1196" s="26" t="s">
        <v>461</v>
      </c>
      <c r="L1196" s="26" t="s">
        <v>461</v>
      </c>
    </row>
    <row r="1197">
      <c r="K1197" s="26" t="s">
        <v>461</v>
      </c>
      <c r="L1197" s="26" t="s">
        <v>461</v>
      </c>
    </row>
    <row r="1198">
      <c r="K1198" s="26" t="s">
        <v>461</v>
      </c>
      <c r="L1198" s="26" t="s">
        <v>461</v>
      </c>
    </row>
    <row r="1199">
      <c r="K1199" s="26" t="s">
        <v>461</v>
      </c>
      <c r="L1199" s="26" t="s">
        <v>461</v>
      </c>
    </row>
    <row r="1200">
      <c r="K1200" s="26" t="s">
        <v>461</v>
      </c>
      <c r="L1200" s="26" t="s">
        <v>461</v>
      </c>
    </row>
    <row r="1201">
      <c r="K1201" s="26" t="s">
        <v>461</v>
      </c>
      <c r="L1201" s="26" t="s">
        <v>461</v>
      </c>
    </row>
    <row r="1202">
      <c r="K1202" s="26" t="s">
        <v>461</v>
      </c>
      <c r="L1202" s="26" t="s">
        <v>461</v>
      </c>
    </row>
    <row r="1203">
      <c r="K1203" s="26" t="s">
        <v>461</v>
      </c>
      <c r="L1203" s="26" t="s">
        <v>461</v>
      </c>
    </row>
    <row r="1204">
      <c r="K1204" s="26" t="s">
        <v>461</v>
      </c>
      <c r="L1204" s="26" t="s">
        <v>461</v>
      </c>
    </row>
    <row r="1205">
      <c r="K1205" s="26" t="s">
        <v>461</v>
      </c>
      <c r="L1205" s="26" t="s">
        <v>461</v>
      </c>
    </row>
    <row r="1206">
      <c r="K1206" s="26" t="s">
        <v>461</v>
      </c>
      <c r="L1206" s="26" t="s">
        <v>461</v>
      </c>
    </row>
    <row r="1207">
      <c r="K1207" s="26" t="s">
        <v>461</v>
      </c>
      <c r="L1207" s="26" t="s">
        <v>461</v>
      </c>
    </row>
    <row r="1208">
      <c r="K1208" s="26" t="s">
        <v>461</v>
      </c>
      <c r="L1208" s="26" t="s">
        <v>461</v>
      </c>
    </row>
    <row r="1209">
      <c r="K1209" s="26" t="s">
        <v>461</v>
      </c>
      <c r="L1209" s="26" t="s">
        <v>461</v>
      </c>
    </row>
    <row r="1210">
      <c r="K1210" s="26" t="s">
        <v>461</v>
      </c>
      <c r="L1210" s="26" t="s">
        <v>461</v>
      </c>
    </row>
    <row r="1211">
      <c r="K1211" s="26" t="s">
        <v>461</v>
      </c>
      <c r="L1211" s="26" t="s">
        <v>461</v>
      </c>
    </row>
    <row r="1212">
      <c r="K1212" s="26" t="s">
        <v>461</v>
      </c>
      <c r="L1212" s="26" t="s">
        <v>461</v>
      </c>
    </row>
    <row r="1213">
      <c r="K1213" s="26" t="s">
        <v>461</v>
      </c>
      <c r="L1213" s="26" t="s">
        <v>461</v>
      </c>
    </row>
    <row r="1214">
      <c r="K1214" s="26" t="s">
        <v>461</v>
      </c>
      <c r="L1214" s="26" t="s">
        <v>461</v>
      </c>
    </row>
    <row r="1215">
      <c r="K1215" s="26" t="s">
        <v>461</v>
      </c>
      <c r="L1215" s="26" t="s">
        <v>461</v>
      </c>
    </row>
    <row r="1216">
      <c r="K1216" s="26" t="s">
        <v>461</v>
      </c>
      <c r="L1216" s="26" t="s">
        <v>461</v>
      </c>
    </row>
    <row r="1217">
      <c r="K1217" s="26" t="s">
        <v>461</v>
      </c>
      <c r="L1217" s="26" t="s">
        <v>461</v>
      </c>
    </row>
    <row r="1218">
      <c r="K1218" s="26" t="s">
        <v>461</v>
      </c>
      <c r="L1218" s="26" t="s">
        <v>461</v>
      </c>
    </row>
    <row r="1219">
      <c r="K1219" s="26" t="s">
        <v>461</v>
      </c>
      <c r="L1219" s="26" t="s">
        <v>461</v>
      </c>
    </row>
    <row r="1220">
      <c r="K1220" s="26" t="s">
        <v>461</v>
      </c>
      <c r="L1220" s="26" t="s">
        <v>461</v>
      </c>
    </row>
    <row r="1221">
      <c r="K1221" s="26" t="s">
        <v>461</v>
      </c>
      <c r="L1221" s="26" t="s">
        <v>461</v>
      </c>
    </row>
    <row r="1222">
      <c r="K1222" s="26" t="s">
        <v>461</v>
      </c>
      <c r="L1222" s="26" t="s">
        <v>461</v>
      </c>
    </row>
    <row r="1223">
      <c r="K1223" s="26" t="s">
        <v>461</v>
      </c>
      <c r="L1223" s="26" t="s">
        <v>461</v>
      </c>
    </row>
    <row r="1224">
      <c r="K1224" s="26" t="s">
        <v>461</v>
      </c>
      <c r="L1224" s="26" t="s">
        <v>461</v>
      </c>
    </row>
    <row r="1225">
      <c r="K1225" s="26" t="s">
        <v>461</v>
      </c>
      <c r="L1225" s="26" t="s">
        <v>461</v>
      </c>
    </row>
    <row r="1226">
      <c r="K1226" s="26" t="s">
        <v>461</v>
      </c>
      <c r="L1226" s="26" t="s">
        <v>461</v>
      </c>
    </row>
    <row r="1227">
      <c r="K1227" s="26" t="s">
        <v>461</v>
      </c>
      <c r="L1227" s="26" t="s">
        <v>461</v>
      </c>
    </row>
    <row r="1228">
      <c r="K1228" s="26" t="s">
        <v>461</v>
      </c>
      <c r="L1228" s="26" t="s">
        <v>461</v>
      </c>
    </row>
    <row r="1229">
      <c r="K1229" s="26" t="s">
        <v>461</v>
      </c>
      <c r="L1229" s="26" t="s">
        <v>461</v>
      </c>
    </row>
    <row r="1230">
      <c r="K1230" s="26" t="s">
        <v>461</v>
      </c>
      <c r="L1230" s="26" t="s">
        <v>461</v>
      </c>
    </row>
    <row r="1231">
      <c r="K1231" s="26" t="s">
        <v>461</v>
      </c>
      <c r="L1231" s="26" t="s">
        <v>461</v>
      </c>
    </row>
    <row r="1232">
      <c r="K1232" s="26" t="s">
        <v>461</v>
      </c>
      <c r="L1232" s="26" t="s">
        <v>461</v>
      </c>
    </row>
    <row r="1233">
      <c r="K1233" s="26" t="s">
        <v>461</v>
      </c>
      <c r="L1233" s="26" t="s">
        <v>461</v>
      </c>
    </row>
    <row r="1234">
      <c r="K1234" s="26" t="s">
        <v>461</v>
      </c>
      <c r="L1234" s="26" t="s">
        <v>461</v>
      </c>
    </row>
    <row r="1235">
      <c r="K1235" s="26" t="s">
        <v>461</v>
      </c>
      <c r="L1235" s="26" t="s">
        <v>461</v>
      </c>
    </row>
    <row r="1236">
      <c r="K1236" s="26" t="s">
        <v>461</v>
      </c>
      <c r="L1236" s="26" t="s">
        <v>461</v>
      </c>
    </row>
    <row r="1237">
      <c r="K1237" s="26" t="s">
        <v>461</v>
      </c>
      <c r="L1237" s="26" t="s">
        <v>461</v>
      </c>
    </row>
    <row r="1238">
      <c r="K1238" s="26" t="s">
        <v>461</v>
      </c>
      <c r="L1238" s="26" t="s">
        <v>461</v>
      </c>
    </row>
    <row r="1239">
      <c r="K1239" s="26" t="s">
        <v>461</v>
      </c>
      <c r="L1239" s="26" t="s">
        <v>461</v>
      </c>
    </row>
    <row r="1240">
      <c r="K1240" s="26" t="s">
        <v>461</v>
      </c>
      <c r="L1240" s="26" t="s">
        <v>461</v>
      </c>
    </row>
    <row r="1241">
      <c r="K1241" s="26" t="s">
        <v>461</v>
      </c>
      <c r="L1241" s="26" t="s">
        <v>461</v>
      </c>
    </row>
    <row r="1242">
      <c r="K1242" s="26" t="s">
        <v>461</v>
      </c>
      <c r="L1242" s="26" t="s">
        <v>461</v>
      </c>
    </row>
    <row r="1243">
      <c r="K1243" s="26" t="s">
        <v>461</v>
      </c>
      <c r="L1243" s="26" t="s">
        <v>461</v>
      </c>
    </row>
    <row r="1244">
      <c r="K1244" s="26" t="s">
        <v>461</v>
      </c>
      <c r="L1244" s="26" t="s">
        <v>461</v>
      </c>
    </row>
    <row r="1245">
      <c r="K1245" s="26" t="s">
        <v>461</v>
      </c>
      <c r="L1245" s="26" t="s">
        <v>461</v>
      </c>
    </row>
    <row r="1246">
      <c r="K1246" s="26" t="s">
        <v>461</v>
      </c>
      <c r="L1246" s="26" t="s">
        <v>461</v>
      </c>
    </row>
    <row r="1247">
      <c r="K1247" s="26" t="s">
        <v>461</v>
      </c>
      <c r="L1247" s="26" t="s">
        <v>461</v>
      </c>
    </row>
    <row r="1248">
      <c r="K1248" s="26" t="s">
        <v>461</v>
      </c>
      <c r="L1248" s="26" t="s">
        <v>461</v>
      </c>
    </row>
    <row r="1249">
      <c r="K1249" s="26" t="s">
        <v>461</v>
      </c>
      <c r="L1249" s="26" t="s">
        <v>461</v>
      </c>
    </row>
    <row r="1250">
      <c r="K1250" s="26" t="s">
        <v>461</v>
      </c>
      <c r="L1250" s="26" t="s">
        <v>461</v>
      </c>
    </row>
    <row r="1251">
      <c r="K1251" s="26" t="s">
        <v>461</v>
      </c>
      <c r="L1251" s="26" t="s">
        <v>461</v>
      </c>
    </row>
    <row r="1252">
      <c r="K1252" s="26" t="s">
        <v>461</v>
      </c>
      <c r="L1252" s="26" t="s">
        <v>461</v>
      </c>
    </row>
    <row r="1253">
      <c r="K1253" s="26" t="s">
        <v>461</v>
      </c>
      <c r="L1253" s="26" t="s">
        <v>461</v>
      </c>
    </row>
    <row r="1254">
      <c r="K1254" s="26" t="s">
        <v>461</v>
      </c>
      <c r="L1254" s="26" t="s">
        <v>461</v>
      </c>
    </row>
    <row r="1255">
      <c r="K1255" s="26" t="s">
        <v>461</v>
      </c>
      <c r="L1255" s="26" t="s">
        <v>461</v>
      </c>
    </row>
    <row r="1256">
      <c r="K1256" s="26" t="s">
        <v>461</v>
      </c>
      <c r="L1256" s="26" t="s">
        <v>461</v>
      </c>
    </row>
    <row r="1257">
      <c r="K1257" s="26" t="s">
        <v>461</v>
      </c>
      <c r="L1257" s="26" t="s">
        <v>461</v>
      </c>
    </row>
    <row r="1258">
      <c r="K1258" s="26" t="s">
        <v>461</v>
      </c>
      <c r="L1258" s="26" t="s">
        <v>461</v>
      </c>
    </row>
    <row r="1259">
      <c r="K1259" s="26" t="s">
        <v>461</v>
      </c>
      <c r="L1259" s="26" t="s">
        <v>461</v>
      </c>
    </row>
    <row r="1260">
      <c r="K1260" s="26" t="s">
        <v>461</v>
      </c>
      <c r="L1260" s="26" t="s">
        <v>461</v>
      </c>
    </row>
    <row r="1261">
      <c r="K1261" s="26" t="s">
        <v>461</v>
      </c>
      <c r="L1261" s="26" t="s">
        <v>461</v>
      </c>
    </row>
    <row r="1262">
      <c r="K1262" s="26" t="s">
        <v>461</v>
      </c>
      <c r="L1262" s="26" t="s">
        <v>461</v>
      </c>
    </row>
    <row r="1263">
      <c r="K1263" s="26" t="s">
        <v>461</v>
      </c>
      <c r="L1263" s="26" t="s">
        <v>461</v>
      </c>
    </row>
    <row r="1264">
      <c r="K1264" s="26" t="s">
        <v>461</v>
      </c>
      <c r="L1264" s="26" t="s">
        <v>461</v>
      </c>
    </row>
    <row r="1265">
      <c r="K1265" s="26" t="s">
        <v>461</v>
      </c>
      <c r="L1265" s="26" t="s">
        <v>461</v>
      </c>
    </row>
    <row r="1266">
      <c r="K1266" s="26" t="s">
        <v>461</v>
      </c>
      <c r="L1266" s="26" t="s">
        <v>461</v>
      </c>
    </row>
    <row r="1267">
      <c r="K1267" s="26" t="s">
        <v>461</v>
      </c>
      <c r="L1267" s="26" t="s">
        <v>461</v>
      </c>
    </row>
    <row r="1268">
      <c r="K1268" s="26" t="s">
        <v>461</v>
      </c>
      <c r="L1268" s="26" t="s">
        <v>461</v>
      </c>
    </row>
    <row r="1269">
      <c r="K1269" s="26" t="s">
        <v>461</v>
      </c>
      <c r="L1269" s="26" t="s">
        <v>461</v>
      </c>
    </row>
    <row r="1270">
      <c r="K1270" s="26" t="s">
        <v>461</v>
      </c>
      <c r="L1270" s="26" t="s">
        <v>461</v>
      </c>
    </row>
    <row r="1271">
      <c r="K1271" s="26" t="s">
        <v>461</v>
      </c>
      <c r="L1271" s="26" t="s">
        <v>461</v>
      </c>
    </row>
    <row r="1272">
      <c r="K1272" s="26" t="s">
        <v>461</v>
      </c>
      <c r="L1272" s="26" t="s">
        <v>461</v>
      </c>
    </row>
    <row r="1273">
      <c r="K1273" s="26" t="s">
        <v>461</v>
      </c>
      <c r="L1273" s="26" t="s">
        <v>461</v>
      </c>
    </row>
    <row r="1274">
      <c r="K1274" s="26" t="s">
        <v>461</v>
      </c>
      <c r="L1274" s="26" t="s">
        <v>461</v>
      </c>
    </row>
    <row r="1275">
      <c r="K1275" s="26" t="s">
        <v>461</v>
      </c>
      <c r="L1275" s="26" t="s">
        <v>461</v>
      </c>
    </row>
    <row r="1276">
      <c r="K1276" s="26" t="s">
        <v>461</v>
      </c>
      <c r="L1276" s="26" t="s">
        <v>461</v>
      </c>
    </row>
    <row r="1277">
      <c r="K1277" s="26" t="s">
        <v>461</v>
      </c>
      <c r="L1277" s="26" t="s">
        <v>461</v>
      </c>
    </row>
    <row r="1278">
      <c r="K1278" s="26" t="s">
        <v>461</v>
      </c>
      <c r="L1278" s="26" t="s">
        <v>461</v>
      </c>
    </row>
    <row r="1279">
      <c r="K1279" s="26" t="s">
        <v>461</v>
      </c>
      <c r="L1279" s="26" t="s">
        <v>461</v>
      </c>
    </row>
    <row r="1280">
      <c r="K1280" s="26" t="s">
        <v>461</v>
      </c>
      <c r="L1280" s="26" t="s">
        <v>461</v>
      </c>
    </row>
    <row r="1281">
      <c r="K1281" s="26" t="s">
        <v>461</v>
      </c>
      <c r="L1281" s="26" t="s">
        <v>461</v>
      </c>
    </row>
    <row r="1282">
      <c r="K1282" s="26" t="s">
        <v>461</v>
      </c>
      <c r="L1282" s="26" t="s">
        <v>461</v>
      </c>
    </row>
    <row r="1283">
      <c r="K1283" s="26" t="s">
        <v>461</v>
      </c>
      <c r="L1283" s="26" t="s">
        <v>461</v>
      </c>
    </row>
    <row r="1284">
      <c r="K1284" s="26" t="s">
        <v>461</v>
      </c>
      <c r="L1284" s="26" t="s">
        <v>461</v>
      </c>
    </row>
    <row r="1285">
      <c r="K1285" s="26" t="s">
        <v>461</v>
      </c>
      <c r="L1285" s="26" t="s">
        <v>461</v>
      </c>
    </row>
    <row r="1286">
      <c r="K1286" s="26" t="s">
        <v>461</v>
      </c>
      <c r="L1286" s="26" t="s">
        <v>461</v>
      </c>
    </row>
    <row r="1287">
      <c r="K1287" s="26" t="s">
        <v>461</v>
      </c>
      <c r="L1287" s="26" t="s">
        <v>461</v>
      </c>
    </row>
    <row r="1288">
      <c r="K1288" s="26" t="s">
        <v>461</v>
      </c>
      <c r="L1288" s="26" t="s">
        <v>461</v>
      </c>
    </row>
    <row r="1289">
      <c r="K1289" s="26" t="s">
        <v>461</v>
      </c>
      <c r="L1289" s="26" t="s">
        <v>461</v>
      </c>
    </row>
    <row r="1290">
      <c r="K1290" s="26" t="s">
        <v>461</v>
      </c>
      <c r="L1290" s="26" t="s">
        <v>461</v>
      </c>
    </row>
    <row r="1291">
      <c r="K1291" s="26" t="s">
        <v>461</v>
      </c>
      <c r="L1291" s="26" t="s">
        <v>461</v>
      </c>
    </row>
    <row r="1292">
      <c r="K1292" s="26" t="s">
        <v>461</v>
      </c>
      <c r="L1292" s="26" t="s">
        <v>461</v>
      </c>
    </row>
    <row r="1293">
      <c r="K1293" s="26" t="s">
        <v>461</v>
      </c>
      <c r="L1293" s="26" t="s">
        <v>461</v>
      </c>
    </row>
    <row r="1294">
      <c r="K1294" s="26" t="s">
        <v>461</v>
      </c>
      <c r="L1294" s="26" t="s">
        <v>461</v>
      </c>
    </row>
    <row r="1295">
      <c r="K1295" s="26" t="s">
        <v>461</v>
      </c>
      <c r="L1295" s="26" t="s">
        <v>461</v>
      </c>
    </row>
    <row r="1296">
      <c r="K1296" s="26" t="s">
        <v>461</v>
      </c>
      <c r="L1296" s="26" t="s">
        <v>461</v>
      </c>
    </row>
    <row r="1297">
      <c r="K1297" s="26" t="s">
        <v>461</v>
      </c>
      <c r="L1297" s="26" t="s">
        <v>461</v>
      </c>
    </row>
    <row r="1298">
      <c r="K1298" s="26" t="s">
        <v>461</v>
      </c>
      <c r="L1298" s="26" t="s">
        <v>461</v>
      </c>
    </row>
    <row r="1299">
      <c r="K1299" s="26" t="s">
        <v>461</v>
      </c>
      <c r="L1299" s="26" t="s">
        <v>461</v>
      </c>
    </row>
    <row r="1300">
      <c r="K1300" s="26" t="s">
        <v>461</v>
      </c>
      <c r="L1300" s="26" t="s">
        <v>461</v>
      </c>
    </row>
    <row r="1301">
      <c r="K1301" s="26" t="s">
        <v>461</v>
      </c>
      <c r="L1301" s="26" t="s">
        <v>461</v>
      </c>
    </row>
    <row r="1302">
      <c r="K1302" s="26" t="s">
        <v>461</v>
      </c>
      <c r="L1302" s="26" t="s">
        <v>461</v>
      </c>
    </row>
    <row r="1303">
      <c r="K1303" s="26" t="s">
        <v>461</v>
      </c>
      <c r="L1303" s="26" t="s">
        <v>461</v>
      </c>
    </row>
    <row r="1304">
      <c r="K1304" s="26" t="s">
        <v>461</v>
      </c>
      <c r="L1304" s="26" t="s">
        <v>461</v>
      </c>
    </row>
    <row r="1305">
      <c r="K1305" s="26" t="s">
        <v>461</v>
      </c>
      <c r="L1305" s="26" t="s">
        <v>461</v>
      </c>
    </row>
    <row r="1306">
      <c r="K1306" s="26" t="s">
        <v>461</v>
      </c>
      <c r="L1306" s="26" t="s">
        <v>461</v>
      </c>
    </row>
    <row r="1307">
      <c r="K1307" s="26" t="s">
        <v>461</v>
      </c>
      <c r="L1307" s="26" t="s">
        <v>461</v>
      </c>
    </row>
    <row r="1308">
      <c r="K1308" s="26" t="s">
        <v>461</v>
      </c>
      <c r="L1308" s="26" t="s">
        <v>461</v>
      </c>
    </row>
    <row r="1309">
      <c r="K1309" s="26" t="s">
        <v>461</v>
      </c>
      <c r="L1309" s="26" t="s">
        <v>461</v>
      </c>
    </row>
    <row r="1310">
      <c r="K1310" s="26" t="s">
        <v>461</v>
      </c>
      <c r="L1310" s="26" t="s">
        <v>461</v>
      </c>
    </row>
    <row r="1311">
      <c r="K1311" s="26" t="s">
        <v>461</v>
      </c>
      <c r="L1311" s="26" t="s">
        <v>461</v>
      </c>
    </row>
    <row r="1312">
      <c r="K1312" s="26" t="s">
        <v>461</v>
      </c>
      <c r="L1312" s="26" t="s">
        <v>461</v>
      </c>
    </row>
    <row r="1313">
      <c r="K1313" s="26" t="s">
        <v>461</v>
      </c>
      <c r="L1313" s="26" t="s">
        <v>461</v>
      </c>
    </row>
    <row r="1314">
      <c r="K1314" s="26" t="s">
        <v>461</v>
      </c>
      <c r="L1314" s="26" t="s">
        <v>461</v>
      </c>
    </row>
    <row r="1315">
      <c r="K1315" s="26" t="s">
        <v>461</v>
      </c>
      <c r="L1315" s="26" t="s">
        <v>461</v>
      </c>
    </row>
    <row r="1316">
      <c r="K1316" s="26" t="s">
        <v>461</v>
      </c>
      <c r="L1316" s="26" t="s">
        <v>461</v>
      </c>
    </row>
    <row r="1317">
      <c r="K1317" s="26" t="s">
        <v>461</v>
      </c>
      <c r="L1317" s="26" t="s">
        <v>461</v>
      </c>
    </row>
    <row r="1318">
      <c r="K1318" s="26" t="s">
        <v>461</v>
      </c>
      <c r="L1318" s="26" t="s">
        <v>461</v>
      </c>
    </row>
    <row r="1319">
      <c r="K1319" s="26" t="s">
        <v>461</v>
      </c>
      <c r="L1319" s="26" t="s">
        <v>461</v>
      </c>
    </row>
    <row r="1320">
      <c r="K1320" s="26" t="s">
        <v>461</v>
      </c>
      <c r="L1320" s="26" t="s">
        <v>461</v>
      </c>
    </row>
    <row r="1321">
      <c r="K1321" s="26" t="s">
        <v>461</v>
      </c>
      <c r="L1321" s="26" t="s">
        <v>461</v>
      </c>
    </row>
    <row r="1322">
      <c r="K1322" s="26" t="s">
        <v>461</v>
      </c>
      <c r="L1322" s="26" t="s">
        <v>461</v>
      </c>
    </row>
    <row r="1323">
      <c r="K1323" s="26" t="s">
        <v>461</v>
      </c>
      <c r="L1323" s="26" t="s">
        <v>461</v>
      </c>
    </row>
    <row r="1324">
      <c r="K1324" s="26" t="s">
        <v>461</v>
      </c>
      <c r="L1324" s="26" t="s">
        <v>461</v>
      </c>
    </row>
    <row r="1325">
      <c r="K1325" s="26" t="s">
        <v>461</v>
      </c>
      <c r="L1325" s="26" t="s">
        <v>461</v>
      </c>
    </row>
    <row r="1326">
      <c r="K1326" s="26" t="s">
        <v>461</v>
      </c>
      <c r="L1326" s="26" t="s">
        <v>461</v>
      </c>
    </row>
    <row r="1327">
      <c r="K1327" s="26" t="s">
        <v>461</v>
      </c>
      <c r="L1327" s="26" t="s">
        <v>461</v>
      </c>
    </row>
    <row r="1328">
      <c r="K1328" s="26" t="s">
        <v>461</v>
      </c>
      <c r="L1328" s="26" t="s">
        <v>461</v>
      </c>
    </row>
    <row r="1329">
      <c r="K1329" s="26" t="s">
        <v>461</v>
      </c>
      <c r="L1329" s="26" t="s">
        <v>461</v>
      </c>
    </row>
    <row r="1330">
      <c r="K1330" s="26" t="s">
        <v>461</v>
      </c>
      <c r="L1330" s="26" t="s">
        <v>461</v>
      </c>
    </row>
    <row r="1331">
      <c r="K1331" s="26" t="s">
        <v>461</v>
      </c>
      <c r="L1331" s="26" t="s">
        <v>461</v>
      </c>
    </row>
    <row r="1332">
      <c r="K1332" s="26" t="s">
        <v>461</v>
      </c>
      <c r="L1332" s="26" t="s">
        <v>461</v>
      </c>
    </row>
    <row r="1333">
      <c r="K1333" s="26" t="s">
        <v>461</v>
      </c>
      <c r="L1333" s="26" t="s">
        <v>461</v>
      </c>
    </row>
    <row r="1334">
      <c r="K1334" s="26" t="s">
        <v>461</v>
      </c>
      <c r="L1334" s="26" t="s">
        <v>461</v>
      </c>
    </row>
    <row r="1335">
      <c r="K1335" s="26" t="s">
        <v>461</v>
      </c>
      <c r="L1335" s="26" t="s">
        <v>461</v>
      </c>
    </row>
    <row r="1336">
      <c r="K1336" s="26" t="s">
        <v>461</v>
      </c>
      <c r="L1336" s="26" t="s">
        <v>461</v>
      </c>
    </row>
    <row r="1337">
      <c r="K1337" s="26" t="s">
        <v>461</v>
      </c>
      <c r="L1337" s="26" t="s">
        <v>461</v>
      </c>
    </row>
    <row r="1338">
      <c r="K1338" s="26" t="s">
        <v>461</v>
      </c>
      <c r="L1338" s="26" t="s">
        <v>461</v>
      </c>
    </row>
    <row r="1339">
      <c r="K1339" s="26" t="s">
        <v>461</v>
      </c>
      <c r="L1339" s="26" t="s">
        <v>461</v>
      </c>
    </row>
    <row r="1340">
      <c r="K1340" s="26" t="s">
        <v>461</v>
      </c>
      <c r="L1340" s="26" t="s">
        <v>461</v>
      </c>
    </row>
    <row r="1341">
      <c r="K1341" s="26" t="s">
        <v>461</v>
      </c>
      <c r="L1341" s="26" t="s">
        <v>461</v>
      </c>
    </row>
    <row r="1342">
      <c r="K1342" s="26" t="s">
        <v>461</v>
      </c>
      <c r="L1342" s="26" t="s">
        <v>461</v>
      </c>
    </row>
    <row r="1343">
      <c r="K1343" s="26" t="s">
        <v>461</v>
      </c>
      <c r="L1343" s="26" t="s">
        <v>461</v>
      </c>
    </row>
    <row r="1344">
      <c r="K1344" s="26" t="s">
        <v>461</v>
      </c>
      <c r="L1344" s="26" t="s">
        <v>461</v>
      </c>
    </row>
    <row r="1345">
      <c r="K1345" s="26" t="s">
        <v>461</v>
      </c>
      <c r="L1345" s="26" t="s">
        <v>461</v>
      </c>
    </row>
    <row r="1346">
      <c r="K1346" s="26" t="s">
        <v>461</v>
      </c>
      <c r="L1346" s="26" t="s">
        <v>461</v>
      </c>
    </row>
    <row r="1347">
      <c r="K1347" s="26" t="s">
        <v>461</v>
      </c>
      <c r="L1347" s="26" t="s">
        <v>461</v>
      </c>
    </row>
    <row r="1348">
      <c r="K1348" s="26" t="s">
        <v>461</v>
      </c>
      <c r="L1348" s="26" t="s">
        <v>461</v>
      </c>
    </row>
    <row r="1349">
      <c r="K1349" s="26" t="s">
        <v>461</v>
      </c>
      <c r="L1349" s="26" t="s">
        <v>461</v>
      </c>
    </row>
    <row r="1350">
      <c r="K1350" s="26" t="s">
        <v>461</v>
      </c>
      <c r="L1350" s="26" t="s">
        <v>461</v>
      </c>
    </row>
    <row r="1351">
      <c r="K1351" s="26" t="s">
        <v>461</v>
      </c>
      <c r="L1351" s="26" t="s">
        <v>461</v>
      </c>
    </row>
    <row r="1352">
      <c r="K1352" s="26" t="s">
        <v>461</v>
      </c>
      <c r="L1352" s="26" t="s">
        <v>461</v>
      </c>
    </row>
    <row r="1353">
      <c r="K1353" s="26" t="s">
        <v>461</v>
      </c>
      <c r="L1353" s="26" t="s">
        <v>461</v>
      </c>
    </row>
    <row r="1354">
      <c r="K1354" s="26" t="s">
        <v>461</v>
      </c>
      <c r="L1354" s="26" t="s">
        <v>461</v>
      </c>
    </row>
    <row r="1355">
      <c r="K1355" s="26" t="s">
        <v>461</v>
      </c>
      <c r="L1355" s="26" t="s">
        <v>461</v>
      </c>
    </row>
    <row r="1356">
      <c r="K1356" s="26" t="s">
        <v>461</v>
      </c>
      <c r="L1356" s="26" t="s">
        <v>461</v>
      </c>
    </row>
    <row r="1357">
      <c r="K1357" s="26" t="s">
        <v>461</v>
      </c>
      <c r="L1357" s="26" t="s">
        <v>461</v>
      </c>
    </row>
    <row r="1358">
      <c r="K1358" s="26" t="s">
        <v>461</v>
      </c>
      <c r="L1358" s="26" t="s">
        <v>461</v>
      </c>
    </row>
    <row r="1359">
      <c r="K1359" s="26" t="s">
        <v>461</v>
      </c>
      <c r="L1359" s="26" t="s">
        <v>461</v>
      </c>
    </row>
    <row r="1360">
      <c r="K1360" s="26" t="s">
        <v>461</v>
      </c>
      <c r="L1360" s="26" t="s">
        <v>461</v>
      </c>
    </row>
    <row r="1361">
      <c r="K1361" s="26" t="s">
        <v>461</v>
      </c>
      <c r="L1361" s="26" t="s">
        <v>461</v>
      </c>
    </row>
    <row r="1362">
      <c r="K1362" s="26" t="s">
        <v>461</v>
      </c>
      <c r="L1362" s="26" t="s">
        <v>461</v>
      </c>
    </row>
    <row r="1363">
      <c r="K1363" s="26" t="s">
        <v>461</v>
      </c>
      <c r="L1363" s="26" t="s">
        <v>461</v>
      </c>
    </row>
    <row r="1364">
      <c r="K1364" s="26" t="s">
        <v>461</v>
      </c>
      <c r="L1364" s="26" t="s">
        <v>461</v>
      </c>
    </row>
    <row r="1365">
      <c r="K1365" s="26" t="s">
        <v>461</v>
      </c>
      <c r="L1365" s="26" t="s">
        <v>461</v>
      </c>
    </row>
    <row r="1366">
      <c r="K1366" s="26" t="s">
        <v>461</v>
      </c>
      <c r="L1366" s="26" t="s">
        <v>461</v>
      </c>
    </row>
    <row r="1367">
      <c r="K1367" s="26" t="s">
        <v>461</v>
      </c>
      <c r="L1367" s="26" t="s">
        <v>461</v>
      </c>
    </row>
    <row r="1368">
      <c r="K1368" s="26" t="s">
        <v>461</v>
      </c>
      <c r="L1368" s="26" t="s">
        <v>461</v>
      </c>
    </row>
    <row r="1369">
      <c r="K1369" s="26" t="s">
        <v>461</v>
      </c>
      <c r="L1369" s="26" t="s">
        <v>461</v>
      </c>
    </row>
    <row r="1370">
      <c r="K1370" s="26" t="s">
        <v>461</v>
      </c>
      <c r="L1370" s="26" t="s">
        <v>461</v>
      </c>
    </row>
    <row r="1371">
      <c r="K1371" s="26" t="s">
        <v>461</v>
      </c>
      <c r="L1371" s="26" t="s">
        <v>461</v>
      </c>
    </row>
    <row r="1372">
      <c r="K1372" s="26" t="s">
        <v>461</v>
      </c>
      <c r="L1372" s="26" t="s">
        <v>461</v>
      </c>
    </row>
    <row r="1373">
      <c r="K1373" s="26" t="s">
        <v>461</v>
      </c>
      <c r="L1373" s="26" t="s">
        <v>461</v>
      </c>
    </row>
    <row r="1374">
      <c r="K1374" s="26" t="s">
        <v>461</v>
      </c>
      <c r="L1374" s="26" t="s">
        <v>461</v>
      </c>
    </row>
    <row r="1375">
      <c r="K1375" s="26" t="s">
        <v>461</v>
      </c>
      <c r="L1375" s="26" t="s">
        <v>461</v>
      </c>
    </row>
    <row r="1376">
      <c r="K1376" s="26" t="s">
        <v>461</v>
      </c>
      <c r="L1376" s="26" t="s">
        <v>461</v>
      </c>
    </row>
    <row r="1377">
      <c r="K1377" s="26" t="s">
        <v>461</v>
      </c>
      <c r="L1377" s="26" t="s">
        <v>461</v>
      </c>
    </row>
    <row r="1378">
      <c r="K1378" s="26" t="s">
        <v>461</v>
      </c>
      <c r="L1378" s="26" t="s">
        <v>461</v>
      </c>
    </row>
    <row r="1379">
      <c r="K1379" s="26" t="s">
        <v>461</v>
      </c>
      <c r="L1379" s="26" t="s">
        <v>461</v>
      </c>
    </row>
    <row r="1380">
      <c r="K1380" s="26" t="s">
        <v>461</v>
      </c>
      <c r="L1380" s="26" t="s">
        <v>461</v>
      </c>
    </row>
    <row r="1381">
      <c r="K1381" s="26" t="s">
        <v>461</v>
      </c>
      <c r="L1381" s="26" t="s">
        <v>461</v>
      </c>
    </row>
    <row r="1382">
      <c r="K1382" s="26" t="s">
        <v>461</v>
      </c>
      <c r="L1382" s="26" t="s">
        <v>461</v>
      </c>
    </row>
    <row r="1383">
      <c r="K1383" s="26" t="s">
        <v>461</v>
      </c>
      <c r="L1383" s="26" t="s">
        <v>461</v>
      </c>
    </row>
    <row r="1384">
      <c r="K1384" s="26" t="s">
        <v>461</v>
      </c>
      <c r="L1384" s="26" t="s">
        <v>461</v>
      </c>
    </row>
    <row r="1385">
      <c r="K1385" s="26" t="s">
        <v>461</v>
      </c>
      <c r="L1385" s="26" t="s">
        <v>461</v>
      </c>
    </row>
    <row r="1386">
      <c r="K1386" s="26" t="s">
        <v>461</v>
      </c>
      <c r="L1386" s="26" t="s">
        <v>461</v>
      </c>
    </row>
    <row r="1387">
      <c r="K1387" s="26" t="s">
        <v>461</v>
      </c>
      <c r="L1387" s="26" t="s">
        <v>461</v>
      </c>
    </row>
    <row r="1388">
      <c r="K1388" s="26" t="s">
        <v>461</v>
      </c>
      <c r="L1388" s="26" t="s">
        <v>461</v>
      </c>
    </row>
    <row r="1389">
      <c r="K1389" s="26" t="s">
        <v>461</v>
      </c>
      <c r="L1389" s="26" t="s">
        <v>461</v>
      </c>
    </row>
    <row r="1390">
      <c r="K1390" s="26" t="s">
        <v>461</v>
      </c>
      <c r="L1390" s="26" t="s">
        <v>461</v>
      </c>
    </row>
    <row r="1391">
      <c r="K1391" s="26" t="s">
        <v>461</v>
      </c>
      <c r="L1391" s="26" t="s">
        <v>461</v>
      </c>
    </row>
    <row r="1392">
      <c r="K1392" s="26" t="s">
        <v>461</v>
      </c>
      <c r="L1392" s="26" t="s">
        <v>461</v>
      </c>
    </row>
    <row r="1393">
      <c r="K1393" s="26" t="s">
        <v>461</v>
      </c>
      <c r="L1393" s="26" t="s">
        <v>461</v>
      </c>
    </row>
    <row r="1394">
      <c r="K1394" s="26" t="s">
        <v>461</v>
      </c>
      <c r="L1394" s="26" t="s">
        <v>461</v>
      </c>
    </row>
    <row r="1395">
      <c r="K1395" s="26" t="s">
        <v>461</v>
      </c>
      <c r="L1395" s="26" t="s">
        <v>461</v>
      </c>
    </row>
    <row r="1396">
      <c r="K1396" s="26" t="s">
        <v>461</v>
      </c>
      <c r="L1396" s="26" t="s">
        <v>461</v>
      </c>
    </row>
    <row r="1397">
      <c r="K1397" s="26" t="s">
        <v>461</v>
      </c>
      <c r="L1397" s="26" t="s">
        <v>461</v>
      </c>
    </row>
    <row r="1398">
      <c r="K1398" s="26" t="s">
        <v>461</v>
      </c>
      <c r="L1398" s="26" t="s">
        <v>461</v>
      </c>
    </row>
    <row r="1399">
      <c r="K1399" s="26" t="s">
        <v>461</v>
      </c>
      <c r="L1399" s="26" t="s">
        <v>461</v>
      </c>
    </row>
    <row r="1400">
      <c r="K1400" s="26" t="s">
        <v>461</v>
      </c>
      <c r="L1400" s="26" t="s">
        <v>461</v>
      </c>
    </row>
    <row r="1401">
      <c r="K1401" s="26" t="s">
        <v>461</v>
      </c>
      <c r="L1401" s="26" t="s">
        <v>461</v>
      </c>
    </row>
    <row r="1402">
      <c r="K1402" s="26" t="s">
        <v>461</v>
      </c>
      <c r="L1402" s="26" t="s">
        <v>461</v>
      </c>
    </row>
    <row r="1403">
      <c r="K1403" s="26" t="s">
        <v>461</v>
      </c>
      <c r="L1403" s="26" t="s">
        <v>461</v>
      </c>
    </row>
    <row r="1404">
      <c r="K1404" s="26" t="s">
        <v>461</v>
      </c>
      <c r="L1404" s="26" t="s">
        <v>461</v>
      </c>
    </row>
    <row r="1405">
      <c r="K1405" s="26" t="s">
        <v>461</v>
      </c>
      <c r="L1405" s="26" t="s">
        <v>461</v>
      </c>
    </row>
    <row r="1406">
      <c r="K1406" s="26" t="s">
        <v>461</v>
      </c>
      <c r="L1406" s="26" t="s">
        <v>461</v>
      </c>
    </row>
    <row r="1407">
      <c r="K1407" s="26" t="s">
        <v>461</v>
      </c>
      <c r="L1407" s="26" t="s">
        <v>461</v>
      </c>
    </row>
    <row r="1408">
      <c r="K1408" s="26" t="s">
        <v>461</v>
      </c>
      <c r="L1408" s="26" t="s">
        <v>461</v>
      </c>
    </row>
    <row r="1409">
      <c r="K1409" s="26" t="s">
        <v>461</v>
      </c>
      <c r="L1409" s="26" t="s">
        <v>461</v>
      </c>
    </row>
    <row r="1410">
      <c r="K1410" s="26" t="s">
        <v>461</v>
      </c>
      <c r="L1410" s="26" t="s">
        <v>461</v>
      </c>
    </row>
    <row r="1411">
      <c r="K1411" s="26" t="s">
        <v>461</v>
      </c>
      <c r="L1411" s="26" t="s">
        <v>461</v>
      </c>
    </row>
    <row r="1412">
      <c r="K1412" s="26" t="s">
        <v>461</v>
      </c>
      <c r="L1412" s="26" t="s">
        <v>461</v>
      </c>
    </row>
    <row r="1413">
      <c r="K1413" s="26" t="s">
        <v>461</v>
      </c>
      <c r="L1413" s="26" t="s">
        <v>461</v>
      </c>
    </row>
    <row r="1414">
      <c r="K1414" s="26" t="s">
        <v>461</v>
      </c>
      <c r="L1414" s="26" t="s">
        <v>461</v>
      </c>
    </row>
    <row r="1415">
      <c r="K1415" s="26" t="s">
        <v>461</v>
      </c>
      <c r="L1415" s="26" t="s">
        <v>461</v>
      </c>
    </row>
    <row r="1416">
      <c r="K1416" s="26" t="s">
        <v>461</v>
      </c>
      <c r="L1416" s="26" t="s">
        <v>461</v>
      </c>
    </row>
    <row r="1417">
      <c r="K1417" s="26" t="s">
        <v>461</v>
      </c>
      <c r="L1417" s="26" t="s">
        <v>461</v>
      </c>
    </row>
    <row r="1418">
      <c r="K1418" s="26" t="s">
        <v>461</v>
      </c>
      <c r="L1418" s="26" t="s">
        <v>461</v>
      </c>
    </row>
    <row r="1419">
      <c r="K1419" s="26" t="s">
        <v>461</v>
      </c>
      <c r="L1419" s="26" t="s">
        <v>461</v>
      </c>
    </row>
    <row r="1420">
      <c r="K1420" s="26" t="s">
        <v>461</v>
      </c>
      <c r="L1420" s="26" t="s">
        <v>461</v>
      </c>
    </row>
    <row r="1421">
      <c r="K1421" s="26" t="s">
        <v>461</v>
      </c>
      <c r="L1421" s="26" t="s">
        <v>461</v>
      </c>
    </row>
    <row r="1422">
      <c r="K1422" s="26" t="s">
        <v>461</v>
      </c>
      <c r="L1422" s="26" t="s">
        <v>461</v>
      </c>
    </row>
    <row r="1423">
      <c r="K1423" s="26" t="s">
        <v>461</v>
      </c>
      <c r="L1423" s="26" t="s">
        <v>461</v>
      </c>
    </row>
    <row r="1424">
      <c r="K1424" s="26" t="s">
        <v>461</v>
      </c>
      <c r="L1424" s="26" t="s">
        <v>461</v>
      </c>
    </row>
    <row r="1425">
      <c r="K1425" s="26" t="s">
        <v>461</v>
      </c>
      <c r="L1425" s="26" t="s">
        <v>461</v>
      </c>
    </row>
    <row r="1426">
      <c r="K1426" s="26" t="s">
        <v>461</v>
      </c>
      <c r="L1426" s="26" t="s">
        <v>461</v>
      </c>
    </row>
    <row r="1427">
      <c r="K1427" s="26" t="s">
        <v>461</v>
      </c>
      <c r="L1427" s="26" t="s">
        <v>461</v>
      </c>
    </row>
    <row r="1428">
      <c r="K1428" s="26" t="s">
        <v>461</v>
      </c>
      <c r="L1428" s="26" t="s">
        <v>461</v>
      </c>
    </row>
    <row r="1429">
      <c r="K1429" s="26" t="s">
        <v>461</v>
      </c>
      <c r="L1429" s="26" t="s">
        <v>461</v>
      </c>
    </row>
    <row r="1430">
      <c r="K1430" s="26" t="s">
        <v>461</v>
      </c>
      <c r="L1430" s="26" t="s">
        <v>461</v>
      </c>
    </row>
    <row r="1431">
      <c r="K1431" s="26" t="s">
        <v>461</v>
      </c>
      <c r="L1431" s="26" t="s">
        <v>461</v>
      </c>
    </row>
    <row r="1432">
      <c r="K1432" s="26" t="s">
        <v>461</v>
      </c>
      <c r="L1432" s="26" t="s">
        <v>461</v>
      </c>
    </row>
    <row r="1433">
      <c r="K1433" s="26" t="s">
        <v>461</v>
      </c>
      <c r="L1433" s="26" t="s">
        <v>461</v>
      </c>
    </row>
    <row r="1434">
      <c r="K1434" s="26" t="s">
        <v>461</v>
      </c>
      <c r="L1434" s="26" t="s">
        <v>461</v>
      </c>
    </row>
    <row r="1435">
      <c r="K1435" s="26" t="s">
        <v>461</v>
      </c>
      <c r="L1435" s="26" t="s">
        <v>461</v>
      </c>
    </row>
    <row r="1436">
      <c r="K1436" s="26" t="s">
        <v>461</v>
      </c>
      <c r="L1436" s="26" t="s">
        <v>461</v>
      </c>
    </row>
    <row r="1437">
      <c r="K1437" s="26" t="s">
        <v>461</v>
      </c>
      <c r="L1437" s="26" t="s">
        <v>461</v>
      </c>
    </row>
    <row r="1438">
      <c r="K1438" s="26" t="s">
        <v>461</v>
      </c>
      <c r="L1438" s="26" t="s">
        <v>461</v>
      </c>
    </row>
    <row r="1439">
      <c r="K1439" s="26" t="s">
        <v>461</v>
      </c>
      <c r="L1439" s="26" t="s">
        <v>461</v>
      </c>
    </row>
    <row r="1440">
      <c r="K1440" s="26" t="s">
        <v>461</v>
      </c>
      <c r="L1440" s="26" t="s">
        <v>461</v>
      </c>
    </row>
    <row r="1441">
      <c r="K1441" s="26" t="s">
        <v>461</v>
      </c>
      <c r="L1441" s="26" t="s">
        <v>461</v>
      </c>
    </row>
    <row r="1442">
      <c r="K1442" s="26" t="s">
        <v>461</v>
      </c>
      <c r="L1442" s="26" t="s">
        <v>461</v>
      </c>
    </row>
    <row r="1443">
      <c r="K1443" s="26" t="s">
        <v>461</v>
      </c>
      <c r="L1443" s="26" t="s">
        <v>461</v>
      </c>
    </row>
    <row r="1444">
      <c r="K1444" s="26" t="s">
        <v>461</v>
      </c>
      <c r="L1444" s="26" t="s">
        <v>461</v>
      </c>
    </row>
    <row r="1445">
      <c r="K1445" s="26" t="s">
        <v>461</v>
      </c>
      <c r="L1445" s="26" t="s">
        <v>461</v>
      </c>
    </row>
    <row r="1446">
      <c r="K1446" s="26" t="s">
        <v>461</v>
      </c>
      <c r="L1446" s="26" t="s">
        <v>461</v>
      </c>
    </row>
    <row r="1447">
      <c r="K1447" s="26" t="s">
        <v>461</v>
      </c>
      <c r="L1447" s="26" t="s">
        <v>461</v>
      </c>
    </row>
    <row r="1448">
      <c r="K1448" s="26" t="s">
        <v>461</v>
      </c>
      <c r="L1448" s="26" t="s">
        <v>461</v>
      </c>
    </row>
    <row r="1449">
      <c r="K1449" s="26" t="s">
        <v>461</v>
      </c>
      <c r="L1449" s="26" t="s">
        <v>461</v>
      </c>
    </row>
    <row r="1450">
      <c r="K1450" s="26" t="s">
        <v>461</v>
      </c>
      <c r="L1450" s="26" t="s">
        <v>461</v>
      </c>
    </row>
    <row r="1451">
      <c r="K1451" s="26" t="s">
        <v>461</v>
      </c>
      <c r="L1451" s="26" t="s">
        <v>461</v>
      </c>
    </row>
    <row r="1452">
      <c r="K1452" s="26" t="s">
        <v>461</v>
      </c>
      <c r="L1452" s="26" t="s">
        <v>461</v>
      </c>
    </row>
    <row r="1453">
      <c r="K1453" s="26" t="s">
        <v>461</v>
      </c>
      <c r="L1453" s="26" t="s">
        <v>461</v>
      </c>
    </row>
    <row r="1454">
      <c r="K1454" s="26" t="s">
        <v>461</v>
      </c>
      <c r="L1454" s="26" t="s">
        <v>461</v>
      </c>
    </row>
    <row r="1455">
      <c r="K1455" s="26" t="s">
        <v>461</v>
      </c>
      <c r="L1455" s="26" t="s">
        <v>461</v>
      </c>
    </row>
    <row r="1456">
      <c r="K1456" s="26" t="s">
        <v>461</v>
      </c>
      <c r="L1456" s="26" t="s">
        <v>461</v>
      </c>
    </row>
    <row r="1457">
      <c r="K1457" s="26" t="s">
        <v>461</v>
      </c>
      <c r="L1457" s="26" t="s">
        <v>461</v>
      </c>
    </row>
    <row r="1458">
      <c r="K1458" s="26" t="s">
        <v>461</v>
      </c>
      <c r="L1458" s="26" t="s">
        <v>461</v>
      </c>
    </row>
    <row r="1459">
      <c r="K1459" s="26" t="s">
        <v>461</v>
      </c>
      <c r="L1459" s="26" t="s">
        <v>461</v>
      </c>
    </row>
    <row r="1460">
      <c r="K1460" s="26" t="s">
        <v>461</v>
      </c>
      <c r="L1460" s="26" t="s">
        <v>461</v>
      </c>
    </row>
    <row r="1461">
      <c r="K1461" s="26" t="s">
        <v>461</v>
      </c>
      <c r="L1461" s="26" t="s">
        <v>461</v>
      </c>
    </row>
    <row r="1462">
      <c r="K1462" s="26" t="s">
        <v>461</v>
      </c>
      <c r="L1462" s="26" t="s">
        <v>461</v>
      </c>
    </row>
    <row r="1463">
      <c r="K1463" s="26" t="s">
        <v>461</v>
      </c>
      <c r="L1463" s="26" t="s">
        <v>461</v>
      </c>
    </row>
    <row r="1464">
      <c r="K1464" s="26" t="s">
        <v>461</v>
      </c>
      <c r="L1464" s="26" t="s">
        <v>461</v>
      </c>
    </row>
    <row r="1465">
      <c r="K1465" s="26" t="s">
        <v>461</v>
      </c>
      <c r="L1465" s="26" t="s">
        <v>461</v>
      </c>
    </row>
    <row r="1466">
      <c r="K1466" s="26" t="s">
        <v>461</v>
      </c>
      <c r="L1466" s="26" t="s">
        <v>461</v>
      </c>
    </row>
    <row r="1467">
      <c r="K1467" s="26" t="s">
        <v>461</v>
      </c>
      <c r="L1467" s="26" t="s">
        <v>461</v>
      </c>
    </row>
    <row r="1468">
      <c r="K1468" s="26" t="s">
        <v>461</v>
      </c>
      <c r="L1468" s="26" t="s">
        <v>461</v>
      </c>
    </row>
    <row r="1469">
      <c r="K1469" s="26" t="s">
        <v>461</v>
      </c>
      <c r="L1469" s="26" t="s">
        <v>461</v>
      </c>
    </row>
    <row r="1470">
      <c r="K1470" s="26" t="s">
        <v>461</v>
      </c>
      <c r="L1470" s="26" t="s">
        <v>461</v>
      </c>
    </row>
    <row r="1471">
      <c r="K1471" s="26" t="s">
        <v>461</v>
      </c>
      <c r="L1471" s="26" t="s">
        <v>461</v>
      </c>
    </row>
    <row r="1472">
      <c r="K1472" s="26" t="s">
        <v>461</v>
      </c>
      <c r="L1472" s="26" t="s">
        <v>461</v>
      </c>
    </row>
    <row r="1473">
      <c r="K1473" s="26" t="s">
        <v>461</v>
      </c>
      <c r="L1473" s="26" t="s">
        <v>461</v>
      </c>
    </row>
    <row r="1474">
      <c r="K1474" s="26" t="s">
        <v>461</v>
      </c>
      <c r="L1474" s="26" t="s">
        <v>461</v>
      </c>
    </row>
    <row r="1475">
      <c r="K1475" s="26" t="s">
        <v>461</v>
      </c>
      <c r="L1475" s="26" t="s">
        <v>461</v>
      </c>
    </row>
    <row r="1476">
      <c r="K1476" s="26" t="s">
        <v>461</v>
      </c>
      <c r="L1476" s="26" t="s">
        <v>461</v>
      </c>
    </row>
    <row r="1477">
      <c r="K1477" s="26" t="s">
        <v>461</v>
      </c>
      <c r="L1477" s="26" t="s">
        <v>461</v>
      </c>
    </row>
    <row r="1478">
      <c r="K1478" s="26" t="s">
        <v>461</v>
      </c>
      <c r="L1478" s="26" t="s">
        <v>461</v>
      </c>
    </row>
    <row r="1479">
      <c r="K1479" s="26" t="s">
        <v>461</v>
      </c>
      <c r="L1479" s="26" t="s">
        <v>461</v>
      </c>
    </row>
    <row r="1480">
      <c r="K1480" s="26" t="s">
        <v>461</v>
      </c>
      <c r="L1480" s="26" t="s">
        <v>461</v>
      </c>
    </row>
    <row r="1481">
      <c r="K1481" s="26" t="s">
        <v>461</v>
      </c>
      <c r="L1481" s="26" t="s">
        <v>461</v>
      </c>
    </row>
    <row r="1482">
      <c r="K1482" s="26" t="s">
        <v>461</v>
      </c>
      <c r="L1482" s="26" t="s">
        <v>461</v>
      </c>
    </row>
    <row r="1483">
      <c r="K1483" s="26" t="s">
        <v>461</v>
      </c>
      <c r="L1483" s="26" t="s">
        <v>461</v>
      </c>
    </row>
    <row r="1484">
      <c r="K1484" s="26" t="s">
        <v>461</v>
      </c>
      <c r="L1484" s="26" t="s">
        <v>461</v>
      </c>
    </row>
    <row r="1485">
      <c r="K1485" s="26" t="s">
        <v>461</v>
      </c>
      <c r="L1485" s="26" t="s">
        <v>461</v>
      </c>
    </row>
    <row r="1486">
      <c r="K1486" s="26" t="s">
        <v>461</v>
      </c>
      <c r="L1486" s="26" t="s">
        <v>461</v>
      </c>
    </row>
    <row r="1487">
      <c r="K1487" s="26" t="s">
        <v>461</v>
      </c>
      <c r="L1487" s="26" t="s">
        <v>461</v>
      </c>
    </row>
    <row r="1488">
      <c r="K1488" s="26" t="s">
        <v>461</v>
      </c>
      <c r="L1488" s="26" t="s">
        <v>461</v>
      </c>
    </row>
    <row r="1489">
      <c r="K1489" s="26" t="s">
        <v>461</v>
      </c>
      <c r="L1489" s="26" t="s">
        <v>461</v>
      </c>
    </row>
    <row r="1490">
      <c r="K1490" s="26" t="s">
        <v>461</v>
      </c>
      <c r="L1490" s="26" t="s">
        <v>461</v>
      </c>
    </row>
    <row r="1491">
      <c r="K1491" s="26" t="s">
        <v>461</v>
      </c>
      <c r="L1491" s="26" t="s">
        <v>461</v>
      </c>
    </row>
    <row r="1492">
      <c r="K1492" s="26" t="s">
        <v>461</v>
      </c>
      <c r="L1492" s="26" t="s">
        <v>461</v>
      </c>
    </row>
    <row r="1493">
      <c r="K1493" s="26" t="s">
        <v>461</v>
      </c>
      <c r="L1493" s="26" t="s">
        <v>461</v>
      </c>
    </row>
    <row r="1494">
      <c r="K1494" s="26" t="s">
        <v>461</v>
      </c>
      <c r="L1494" s="26" t="s">
        <v>461</v>
      </c>
    </row>
    <row r="1495">
      <c r="K1495" s="26" t="s">
        <v>461</v>
      </c>
      <c r="L1495" s="26" t="s">
        <v>461</v>
      </c>
    </row>
    <row r="1496">
      <c r="K1496" s="26" t="s">
        <v>461</v>
      </c>
      <c r="L1496" s="26" t="s">
        <v>461</v>
      </c>
    </row>
    <row r="1497">
      <c r="K1497" s="26" t="s">
        <v>461</v>
      </c>
      <c r="L1497" s="26" t="s">
        <v>461</v>
      </c>
    </row>
    <row r="1498">
      <c r="K1498" s="26" t="s">
        <v>461</v>
      </c>
      <c r="L1498" s="26" t="s">
        <v>461</v>
      </c>
    </row>
    <row r="1499">
      <c r="K1499" s="26" t="s">
        <v>461</v>
      </c>
      <c r="L1499" s="26" t="s">
        <v>461</v>
      </c>
    </row>
    <row r="1500">
      <c r="K1500" s="26" t="s">
        <v>461</v>
      </c>
      <c r="L1500" s="26" t="s">
        <v>461</v>
      </c>
    </row>
    <row r="1501">
      <c r="K1501" s="26" t="s">
        <v>461</v>
      </c>
      <c r="L1501" s="26" t="s">
        <v>461</v>
      </c>
    </row>
    <row r="1502">
      <c r="K1502" s="26" t="s">
        <v>461</v>
      </c>
      <c r="L1502" s="26" t="s">
        <v>461</v>
      </c>
    </row>
    <row r="1503">
      <c r="K1503" s="26" t="s">
        <v>461</v>
      </c>
      <c r="L1503" s="26" t="s">
        <v>461</v>
      </c>
    </row>
    <row r="1504">
      <c r="K1504" s="26" t="s">
        <v>461</v>
      </c>
      <c r="L1504" s="26" t="s">
        <v>461</v>
      </c>
    </row>
    <row r="1505">
      <c r="K1505" s="26" t="s">
        <v>461</v>
      </c>
      <c r="L1505" s="26" t="s">
        <v>461</v>
      </c>
    </row>
    <row r="1506">
      <c r="K1506" s="26" t="s">
        <v>461</v>
      </c>
      <c r="L1506" s="26" t="s">
        <v>461</v>
      </c>
    </row>
    <row r="1507">
      <c r="K1507" s="26" t="s">
        <v>461</v>
      </c>
      <c r="L1507" s="26" t="s">
        <v>461</v>
      </c>
    </row>
    <row r="1508">
      <c r="K1508" s="26" t="s">
        <v>461</v>
      </c>
      <c r="L1508" s="26" t="s">
        <v>461</v>
      </c>
    </row>
    <row r="1509">
      <c r="K1509" s="26" t="s">
        <v>461</v>
      </c>
      <c r="L1509" s="26" t="s">
        <v>461</v>
      </c>
    </row>
    <row r="1510">
      <c r="K1510" s="26" t="s">
        <v>461</v>
      </c>
      <c r="L1510" s="26" t="s">
        <v>461</v>
      </c>
    </row>
    <row r="1511">
      <c r="K1511" s="26" t="s">
        <v>461</v>
      </c>
      <c r="L1511" s="26" t="s">
        <v>461</v>
      </c>
    </row>
    <row r="1512">
      <c r="K1512" s="26" t="s">
        <v>461</v>
      </c>
      <c r="L1512" s="26" t="s">
        <v>461</v>
      </c>
    </row>
    <row r="1513">
      <c r="K1513" s="26" t="s">
        <v>461</v>
      </c>
      <c r="L1513" s="26" t="s">
        <v>461</v>
      </c>
    </row>
    <row r="1514">
      <c r="K1514" s="26" t="s">
        <v>461</v>
      </c>
      <c r="L1514" s="26" t="s">
        <v>461</v>
      </c>
    </row>
    <row r="1515">
      <c r="K1515" s="26" t="s">
        <v>461</v>
      </c>
      <c r="L1515" s="26" t="s">
        <v>461</v>
      </c>
    </row>
    <row r="1516">
      <c r="K1516" s="26" t="s">
        <v>461</v>
      </c>
      <c r="L1516" s="26" t="s">
        <v>461</v>
      </c>
    </row>
    <row r="1517">
      <c r="K1517" s="26" t="s">
        <v>461</v>
      </c>
      <c r="L1517" s="26" t="s">
        <v>461</v>
      </c>
    </row>
    <row r="1518">
      <c r="K1518" s="26" t="s">
        <v>461</v>
      </c>
      <c r="L1518" s="26" t="s">
        <v>461</v>
      </c>
    </row>
    <row r="1519">
      <c r="K1519" s="26" t="s">
        <v>461</v>
      </c>
      <c r="L1519" s="26" t="s">
        <v>461</v>
      </c>
    </row>
    <row r="1520">
      <c r="K1520" s="26" t="s">
        <v>461</v>
      </c>
      <c r="L1520" s="26" t="s">
        <v>461</v>
      </c>
    </row>
    <row r="1521">
      <c r="K1521" s="26" t="s">
        <v>461</v>
      </c>
      <c r="L1521" s="26" t="s">
        <v>461</v>
      </c>
    </row>
    <row r="1522">
      <c r="K1522" s="26" t="s">
        <v>461</v>
      </c>
      <c r="L1522" s="26" t="s">
        <v>461</v>
      </c>
    </row>
    <row r="1523">
      <c r="K1523" s="26" t="s">
        <v>461</v>
      </c>
      <c r="L1523" s="26" t="s">
        <v>461</v>
      </c>
    </row>
    <row r="1524">
      <c r="K1524" s="26" t="s">
        <v>461</v>
      </c>
      <c r="L1524" s="26" t="s">
        <v>461</v>
      </c>
    </row>
    <row r="1525">
      <c r="K1525" s="26" t="s">
        <v>461</v>
      </c>
      <c r="L1525" s="26" t="s">
        <v>461</v>
      </c>
    </row>
    <row r="1526">
      <c r="K1526" s="26" t="s">
        <v>461</v>
      </c>
      <c r="L1526" s="26" t="s">
        <v>461</v>
      </c>
    </row>
    <row r="1527">
      <c r="K1527" s="26" t="s">
        <v>461</v>
      </c>
      <c r="L1527" s="26" t="s">
        <v>461</v>
      </c>
    </row>
    <row r="1528">
      <c r="K1528" s="26" t="s">
        <v>461</v>
      </c>
      <c r="L1528" s="26" t="s">
        <v>461</v>
      </c>
    </row>
    <row r="1529">
      <c r="K1529" s="26" t="s">
        <v>461</v>
      </c>
      <c r="L1529" s="26" t="s">
        <v>461</v>
      </c>
    </row>
    <row r="1530">
      <c r="K1530" s="26" t="s">
        <v>461</v>
      </c>
      <c r="L1530" s="26" t="s">
        <v>461</v>
      </c>
    </row>
    <row r="1531">
      <c r="K1531" s="26" t="s">
        <v>461</v>
      </c>
      <c r="L1531" s="26" t="s">
        <v>461</v>
      </c>
    </row>
    <row r="1532">
      <c r="K1532" s="26" t="s">
        <v>461</v>
      </c>
      <c r="L1532" s="26" t="s">
        <v>461</v>
      </c>
    </row>
    <row r="1533">
      <c r="K1533" s="26" t="s">
        <v>461</v>
      </c>
      <c r="L1533" s="26" t="s">
        <v>461</v>
      </c>
    </row>
    <row r="1534">
      <c r="K1534" s="26" t="s">
        <v>461</v>
      </c>
      <c r="L1534" s="26" t="s">
        <v>461</v>
      </c>
    </row>
    <row r="1535">
      <c r="K1535" s="26" t="s">
        <v>461</v>
      </c>
      <c r="L1535" s="26" t="s">
        <v>461</v>
      </c>
    </row>
    <row r="1536">
      <c r="K1536" s="26" t="s">
        <v>461</v>
      </c>
      <c r="L1536" s="26" t="s">
        <v>461</v>
      </c>
    </row>
    <row r="1537">
      <c r="K1537" s="26" t="s">
        <v>461</v>
      </c>
      <c r="L1537" s="26" t="s">
        <v>461</v>
      </c>
    </row>
    <row r="1538">
      <c r="K1538" s="26" t="s">
        <v>461</v>
      </c>
      <c r="L1538" s="26" t="s">
        <v>461</v>
      </c>
    </row>
    <row r="1539">
      <c r="K1539" s="26" t="s">
        <v>461</v>
      </c>
      <c r="L1539" s="26" t="s">
        <v>461</v>
      </c>
    </row>
    <row r="1540">
      <c r="K1540" s="26" t="s">
        <v>461</v>
      </c>
      <c r="L1540" s="26" t="s">
        <v>461</v>
      </c>
    </row>
    <row r="1541">
      <c r="K1541" s="26" t="s">
        <v>461</v>
      </c>
      <c r="L1541" s="26" t="s">
        <v>461</v>
      </c>
    </row>
    <row r="1542">
      <c r="K1542" s="26" t="s">
        <v>461</v>
      </c>
      <c r="L1542" s="26" t="s">
        <v>461</v>
      </c>
    </row>
    <row r="1543">
      <c r="K1543" s="26" t="s">
        <v>461</v>
      </c>
      <c r="L1543" s="26" t="s">
        <v>461</v>
      </c>
    </row>
    <row r="1544">
      <c r="K1544" s="26" t="s">
        <v>461</v>
      </c>
      <c r="L1544" s="26" t="s">
        <v>461</v>
      </c>
    </row>
    <row r="1545">
      <c r="K1545" s="26" t="s">
        <v>461</v>
      </c>
      <c r="L1545" s="26" t="s">
        <v>461</v>
      </c>
    </row>
    <row r="1546">
      <c r="K1546" s="26" t="s">
        <v>461</v>
      </c>
      <c r="L1546" s="26" t="s">
        <v>461</v>
      </c>
    </row>
    <row r="1547">
      <c r="K1547" s="26" t="s">
        <v>461</v>
      </c>
      <c r="L1547" s="26" t="s">
        <v>461</v>
      </c>
    </row>
    <row r="1548">
      <c r="K1548" s="26" t="s">
        <v>461</v>
      </c>
      <c r="L1548" s="26" t="s">
        <v>461</v>
      </c>
    </row>
    <row r="1549">
      <c r="K1549" s="26" t="s">
        <v>461</v>
      </c>
      <c r="L1549" s="26" t="s">
        <v>461</v>
      </c>
    </row>
    <row r="1550">
      <c r="K1550" s="26" t="s">
        <v>461</v>
      </c>
      <c r="L1550" s="26" t="s">
        <v>461</v>
      </c>
    </row>
    <row r="1551">
      <c r="K1551" s="26" t="s">
        <v>461</v>
      </c>
      <c r="L1551" s="26" t="s">
        <v>461</v>
      </c>
    </row>
    <row r="1552">
      <c r="K1552" s="26" t="s">
        <v>461</v>
      </c>
      <c r="L1552" s="26" t="s">
        <v>461</v>
      </c>
    </row>
    <row r="1553">
      <c r="K1553" s="26" t="s">
        <v>461</v>
      </c>
      <c r="L1553" s="26" t="s">
        <v>461</v>
      </c>
    </row>
    <row r="1554">
      <c r="K1554" s="26" t="s">
        <v>461</v>
      </c>
      <c r="L1554" s="26" t="s">
        <v>461</v>
      </c>
    </row>
    <row r="1555">
      <c r="K1555" s="26" t="s">
        <v>461</v>
      </c>
      <c r="L1555" s="26" t="s">
        <v>461</v>
      </c>
    </row>
    <row r="1556">
      <c r="K1556" s="26" t="s">
        <v>461</v>
      </c>
      <c r="L1556" s="26" t="s">
        <v>461</v>
      </c>
    </row>
    <row r="1557">
      <c r="K1557" s="26" t="s">
        <v>461</v>
      </c>
      <c r="L1557" s="26" t="s">
        <v>461</v>
      </c>
    </row>
    <row r="1558">
      <c r="K1558" s="26" t="s">
        <v>461</v>
      </c>
      <c r="L1558" s="26" t="s">
        <v>461</v>
      </c>
    </row>
    <row r="1559">
      <c r="K1559" s="26" t="s">
        <v>461</v>
      </c>
      <c r="L1559" s="26" t="s">
        <v>461</v>
      </c>
    </row>
    <row r="1560">
      <c r="K1560" s="26" t="s">
        <v>461</v>
      </c>
      <c r="L1560" s="26" t="s">
        <v>461</v>
      </c>
    </row>
    <row r="1561">
      <c r="K1561" s="26" t="s">
        <v>461</v>
      </c>
      <c r="L1561" s="26" t="s">
        <v>461</v>
      </c>
    </row>
    <row r="1562">
      <c r="K1562" s="26" t="s">
        <v>461</v>
      </c>
      <c r="L1562" s="26" t="s">
        <v>461</v>
      </c>
    </row>
    <row r="1563">
      <c r="K1563" s="26" t="s">
        <v>461</v>
      </c>
      <c r="L1563" s="26" t="s">
        <v>461</v>
      </c>
    </row>
    <row r="1564">
      <c r="K1564" s="26" t="s">
        <v>461</v>
      </c>
      <c r="L1564" s="26" t="s">
        <v>461</v>
      </c>
    </row>
    <row r="1565">
      <c r="K1565" s="26" t="s">
        <v>461</v>
      </c>
      <c r="L1565" s="26" t="s">
        <v>461</v>
      </c>
    </row>
    <row r="1566">
      <c r="K1566" s="26" t="s">
        <v>461</v>
      </c>
      <c r="L1566" s="26" t="s">
        <v>461</v>
      </c>
    </row>
    <row r="1567">
      <c r="K1567" s="26" t="s">
        <v>461</v>
      </c>
      <c r="L1567" s="26" t="s">
        <v>461</v>
      </c>
    </row>
    <row r="1568">
      <c r="K1568" s="26" t="s">
        <v>461</v>
      </c>
      <c r="L1568" s="26" t="s">
        <v>461</v>
      </c>
    </row>
    <row r="1569">
      <c r="K1569" s="26" t="s">
        <v>461</v>
      </c>
      <c r="L1569" s="26" t="s">
        <v>461</v>
      </c>
    </row>
    <row r="1570">
      <c r="K1570" s="26" t="s">
        <v>461</v>
      </c>
      <c r="L1570" s="26" t="s">
        <v>461</v>
      </c>
    </row>
    <row r="1571">
      <c r="K1571" s="26" t="s">
        <v>461</v>
      </c>
      <c r="L1571" s="26" t="s">
        <v>461</v>
      </c>
    </row>
    <row r="1572">
      <c r="K1572" s="26" t="s">
        <v>461</v>
      </c>
      <c r="L1572" s="26" t="s">
        <v>461</v>
      </c>
    </row>
    <row r="1573">
      <c r="K1573" s="26" t="s">
        <v>461</v>
      </c>
      <c r="L1573" s="26" t="s">
        <v>461</v>
      </c>
    </row>
    <row r="1574">
      <c r="K1574" s="26" t="s">
        <v>461</v>
      </c>
      <c r="L1574" s="26" t="s">
        <v>461</v>
      </c>
    </row>
    <row r="1575">
      <c r="K1575" s="26" t="s">
        <v>461</v>
      </c>
      <c r="L1575" s="26" t="s">
        <v>461</v>
      </c>
    </row>
    <row r="1576">
      <c r="K1576" s="26" t="s">
        <v>461</v>
      </c>
      <c r="L1576" s="26" t="s">
        <v>461</v>
      </c>
    </row>
    <row r="1577">
      <c r="K1577" s="26" t="s">
        <v>461</v>
      </c>
      <c r="L1577" s="26" t="s">
        <v>461</v>
      </c>
    </row>
    <row r="1578">
      <c r="K1578" s="26" t="s">
        <v>461</v>
      </c>
      <c r="L1578" s="26" t="s">
        <v>461</v>
      </c>
    </row>
    <row r="1579">
      <c r="K1579" s="26" t="s">
        <v>461</v>
      </c>
      <c r="L1579" s="26" t="s">
        <v>461</v>
      </c>
    </row>
    <row r="1580">
      <c r="K1580" s="26" t="s">
        <v>461</v>
      </c>
      <c r="L1580" s="26" t="s">
        <v>461</v>
      </c>
    </row>
    <row r="1581">
      <c r="K1581" s="26" t="s">
        <v>461</v>
      </c>
      <c r="L1581" s="26" t="s">
        <v>461</v>
      </c>
    </row>
    <row r="1582">
      <c r="K1582" s="26" t="s">
        <v>461</v>
      </c>
      <c r="L1582" s="26" t="s">
        <v>461</v>
      </c>
    </row>
    <row r="1583">
      <c r="K1583" s="26" t="s">
        <v>461</v>
      </c>
      <c r="L1583" s="26" t="s">
        <v>461</v>
      </c>
    </row>
    <row r="1584">
      <c r="K1584" s="26" t="s">
        <v>461</v>
      </c>
      <c r="L1584" s="26" t="s">
        <v>461</v>
      </c>
    </row>
    <row r="1585">
      <c r="K1585" s="26" t="s">
        <v>461</v>
      </c>
      <c r="L1585" s="26" t="s">
        <v>461</v>
      </c>
    </row>
    <row r="1586">
      <c r="K1586" s="26" t="s">
        <v>461</v>
      </c>
      <c r="L1586" s="26" t="s">
        <v>461</v>
      </c>
    </row>
    <row r="1587">
      <c r="K1587" s="26" t="s">
        <v>461</v>
      </c>
      <c r="L1587" s="26" t="s">
        <v>461</v>
      </c>
    </row>
    <row r="1588">
      <c r="K1588" s="26" t="s">
        <v>461</v>
      </c>
      <c r="L1588" s="26" t="s">
        <v>461</v>
      </c>
    </row>
    <row r="1589">
      <c r="K1589" s="26" t="s">
        <v>461</v>
      </c>
      <c r="L1589" s="26" t="s">
        <v>461</v>
      </c>
    </row>
    <row r="1590">
      <c r="K1590" s="26" t="s">
        <v>461</v>
      </c>
      <c r="L1590" s="26" t="s">
        <v>461</v>
      </c>
    </row>
    <row r="1591">
      <c r="K1591" s="26" t="s">
        <v>461</v>
      </c>
      <c r="L1591" s="26" t="s">
        <v>461</v>
      </c>
    </row>
    <row r="1592">
      <c r="K1592" s="26" t="s">
        <v>461</v>
      </c>
      <c r="L1592" s="26" t="s">
        <v>461</v>
      </c>
    </row>
    <row r="1593">
      <c r="K1593" s="26" t="s">
        <v>461</v>
      </c>
      <c r="L1593" s="26" t="s">
        <v>461</v>
      </c>
    </row>
    <row r="1594">
      <c r="K1594" s="26" t="s">
        <v>461</v>
      </c>
      <c r="L1594" s="26" t="s">
        <v>461</v>
      </c>
    </row>
    <row r="1595">
      <c r="K1595" s="26" t="s">
        <v>461</v>
      </c>
      <c r="L1595" s="26" t="s">
        <v>461</v>
      </c>
    </row>
    <row r="1596">
      <c r="K1596" s="26" t="s">
        <v>461</v>
      </c>
      <c r="L1596" s="26" t="s">
        <v>461</v>
      </c>
    </row>
    <row r="1597">
      <c r="K1597" s="26" t="s">
        <v>461</v>
      </c>
      <c r="L1597" s="26" t="s">
        <v>461</v>
      </c>
    </row>
    <row r="1598">
      <c r="K1598" s="26" t="s">
        <v>461</v>
      </c>
      <c r="L1598" s="26" t="s">
        <v>461</v>
      </c>
    </row>
    <row r="1599">
      <c r="K1599" s="26" t="s">
        <v>461</v>
      </c>
      <c r="L1599" s="26" t="s">
        <v>461</v>
      </c>
    </row>
    <row r="1600">
      <c r="K1600" s="26" t="s">
        <v>461</v>
      </c>
      <c r="L1600" s="26" t="s">
        <v>461</v>
      </c>
    </row>
    <row r="1601">
      <c r="K1601" s="26" t="s">
        <v>461</v>
      </c>
      <c r="L1601" s="26" t="s">
        <v>461</v>
      </c>
    </row>
    <row r="1602">
      <c r="K1602" s="26" t="s">
        <v>461</v>
      </c>
      <c r="L1602" s="26" t="s">
        <v>461</v>
      </c>
    </row>
    <row r="1603">
      <c r="K1603" s="26" t="s">
        <v>461</v>
      </c>
      <c r="L1603" s="26" t="s">
        <v>461</v>
      </c>
    </row>
    <row r="1604">
      <c r="K1604" s="26" t="s">
        <v>461</v>
      </c>
      <c r="L1604" s="26" t="s">
        <v>461</v>
      </c>
    </row>
    <row r="1605">
      <c r="K1605" s="26" t="s">
        <v>461</v>
      </c>
      <c r="L1605" s="26" t="s">
        <v>461</v>
      </c>
    </row>
    <row r="1606">
      <c r="K1606" s="26" t="s">
        <v>461</v>
      </c>
      <c r="L1606" s="26" t="s">
        <v>461</v>
      </c>
    </row>
    <row r="1607">
      <c r="K1607" s="26" t="s">
        <v>461</v>
      </c>
      <c r="L1607" s="26" t="s">
        <v>461</v>
      </c>
    </row>
    <row r="1608">
      <c r="K1608" s="26" t="s">
        <v>461</v>
      </c>
      <c r="L1608" s="26" t="s">
        <v>461</v>
      </c>
    </row>
    <row r="1609">
      <c r="K1609" s="26" t="s">
        <v>461</v>
      </c>
      <c r="L1609" s="26" t="s">
        <v>461</v>
      </c>
    </row>
    <row r="1610">
      <c r="K1610" s="26" t="s">
        <v>461</v>
      </c>
      <c r="L1610" s="26" t="s">
        <v>461</v>
      </c>
    </row>
    <row r="1611">
      <c r="K1611" s="26" t="s">
        <v>461</v>
      </c>
      <c r="L1611" s="26" t="s">
        <v>461</v>
      </c>
    </row>
    <row r="1612">
      <c r="K1612" s="26" t="s">
        <v>461</v>
      </c>
      <c r="L1612" s="26" t="s">
        <v>461</v>
      </c>
    </row>
    <row r="1613">
      <c r="K1613" s="26" t="s">
        <v>461</v>
      </c>
      <c r="L1613" s="26" t="s">
        <v>461</v>
      </c>
    </row>
    <row r="1614">
      <c r="K1614" s="26" t="s">
        <v>461</v>
      </c>
      <c r="L1614" s="26" t="s">
        <v>461</v>
      </c>
    </row>
    <row r="1615">
      <c r="K1615" s="26" t="s">
        <v>461</v>
      </c>
      <c r="L1615" s="26" t="s">
        <v>461</v>
      </c>
    </row>
    <row r="1616">
      <c r="K1616" s="26" t="s">
        <v>461</v>
      </c>
      <c r="L1616" s="26" t="s">
        <v>461</v>
      </c>
    </row>
    <row r="1617">
      <c r="K1617" s="26" t="s">
        <v>461</v>
      </c>
      <c r="L1617" s="26" t="s">
        <v>461</v>
      </c>
    </row>
    <row r="1618">
      <c r="K1618" s="26" t="s">
        <v>461</v>
      </c>
      <c r="L1618" s="26" t="s">
        <v>461</v>
      </c>
    </row>
    <row r="1619">
      <c r="K1619" s="26" t="s">
        <v>461</v>
      </c>
      <c r="L1619" s="26" t="s">
        <v>461</v>
      </c>
    </row>
    <row r="1620">
      <c r="K1620" s="26" t="s">
        <v>461</v>
      </c>
      <c r="L1620" s="26" t="s">
        <v>461</v>
      </c>
    </row>
    <row r="1621">
      <c r="K1621" s="26" t="s">
        <v>461</v>
      </c>
      <c r="L1621" s="26" t="s">
        <v>461</v>
      </c>
    </row>
    <row r="1622">
      <c r="K1622" s="26" t="s">
        <v>461</v>
      </c>
      <c r="L1622" s="26" t="s">
        <v>461</v>
      </c>
    </row>
    <row r="1623">
      <c r="K1623" s="26" t="s">
        <v>461</v>
      </c>
      <c r="L1623" s="26" t="s">
        <v>461</v>
      </c>
    </row>
    <row r="1624">
      <c r="K1624" s="26" t="s">
        <v>461</v>
      </c>
      <c r="L1624" s="26" t="s">
        <v>461</v>
      </c>
    </row>
    <row r="1625">
      <c r="K1625" s="26" t="s">
        <v>461</v>
      </c>
      <c r="L1625" s="26" t="s">
        <v>461</v>
      </c>
    </row>
    <row r="1626">
      <c r="K1626" s="26" t="s">
        <v>461</v>
      </c>
      <c r="L1626" s="26" t="s">
        <v>461</v>
      </c>
    </row>
    <row r="1627">
      <c r="K1627" s="26" t="s">
        <v>461</v>
      </c>
      <c r="L1627" s="26" t="s">
        <v>461</v>
      </c>
    </row>
    <row r="1628">
      <c r="K1628" s="26" t="s">
        <v>461</v>
      </c>
      <c r="L1628" s="26" t="s">
        <v>461</v>
      </c>
    </row>
    <row r="1629">
      <c r="K1629" s="26" t="s">
        <v>461</v>
      </c>
      <c r="L1629" s="26" t="s">
        <v>461</v>
      </c>
    </row>
    <row r="1630">
      <c r="K1630" s="26" t="s">
        <v>461</v>
      </c>
      <c r="L1630" s="26" t="s">
        <v>461</v>
      </c>
    </row>
    <row r="1631">
      <c r="K1631" s="26" t="s">
        <v>461</v>
      </c>
      <c r="L1631" s="26" t="s">
        <v>461</v>
      </c>
    </row>
    <row r="1632">
      <c r="K1632" s="26" t="s">
        <v>461</v>
      </c>
      <c r="L1632" s="26" t="s">
        <v>461</v>
      </c>
    </row>
    <row r="1633">
      <c r="K1633" s="26" t="s">
        <v>461</v>
      </c>
      <c r="L1633" s="26" t="s">
        <v>461</v>
      </c>
    </row>
    <row r="1634">
      <c r="K1634" s="26" t="s">
        <v>461</v>
      </c>
      <c r="L1634" s="26" t="s">
        <v>461</v>
      </c>
    </row>
    <row r="1635">
      <c r="K1635" s="26" t="s">
        <v>461</v>
      </c>
      <c r="L1635" s="26" t="s">
        <v>461</v>
      </c>
    </row>
    <row r="1636">
      <c r="K1636" s="26" t="s">
        <v>461</v>
      </c>
      <c r="L1636" s="26" t="s">
        <v>461</v>
      </c>
    </row>
    <row r="1637">
      <c r="K1637" s="26" t="s">
        <v>461</v>
      </c>
      <c r="L1637" s="26" t="s">
        <v>461</v>
      </c>
    </row>
    <row r="1638">
      <c r="K1638" s="26" t="s">
        <v>461</v>
      </c>
      <c r="L1638" s="26" t="s">
        <v>461</v>
      </c>
    </row>
    <row r="1639">
      <c r="K1639" s="26" t="s">
        <v>461</v>
      </c>
      <c r="L1639" s="26" t="s">
        <v>461</v>
      </c>
    </row>
    <row r="1640">
      <c r="K1640" s="26" t="s">
        <v>461</v>
      </c>
      <c r="L1640" s="26" t="s">
        <v>461</v>
      </c>
    </row>
    <row r="1641">
      <c r="K1641" s="26" t="s">
        <v>461</v>
      </c>
      <c r="L1641" s="26" t="s">
        <v>461</v>
      </c>
    </row>
    <row r="1642">
      <c r="K1642" s="26" t="s">
        <v>461</v>
      </c>
      <c r="L1642" s="26" t="s">
        <v>461</v>
      </c>
    </row>
    <row r="1643">
      <c r="K1643" s="26" t="s">
        <v>461</v>
      </c>
      <c r="L1643" s="26" t="s">
        <v>461</v>
      </c>
    </row>
    <row r="1644">
      <c r="K1644" s="26" t="s">
        <v>461</v>
      </c>
      <c r="L1644" s="26" t="s">
        <v>461</v>
      </c>
    </row>
    <row r="1645">
      <c r="K1645" s="26" t="s">
        <v>461</v>
      </c>
      <c r="L1645" s="26" t="s">
        <v>461</v>
      </c>
    </row>
    <row r="1646">
      <c r="K1646" s="26" t="s">
        <v>461</v>
      </c>
      <c r="L1646" s="26" t="s">
        <v>461</v>
      </c>
    </row>
    <row r="1647">
      <c r="K1647" s="26" t="s">
        <v>461</v>
      </c>
      <c r="L1647" s="26" t="s">
        <v>461</v>
      </c>
    </row>
    <row r="1648">
      <c r="K1648" s="26" t="s">
        <v>461</v>
      </c>
      <c r="L1648" s="26" t="s">
        <v>461</v>
      </c>
    </row>
    <row r="1649">
      <c r="K1649" s="26" t="s">
        <v>461</v>
      </c>
      <c r="L1649" s="26" t="s">
        <v>461</v>
      </c>
    </row>
    <row r="1650">
      <c r="K1650" s="26" t="s">
        <v>461</v>
      </c>
      <c r="L1650" s="26" t="s">
        <v>461</v>
      </c>
    </row>
    <row r="1651">
      <c r="K1651" s="26" t="s">
        <v>461</v>
      </c>
      <c r="L1651" s="26" t="s">
        <v>461</v>
      </c>
    </row>
    <row r="1652">
      <c r="K1652" s="26" t="s">
        <v>461</v>
      </c>
      <c r="L1652" s="26" t="s">
        <v>461</v>
      </c>
    </row>
    <row r="1653">
      <c r="K1653" s="26" t="s">
        <v>461</v>
      </c>
      <c r="L1653" s="26" t="s">
        <v>461</v>
      </c>
    </row>
    <row r="1654">
      <c r="K1654" s="26" t="s">
        <v>461</v>
      </c>
      <c r="L1654" s="26" t="s">
        <v>461</v>
      </c>
    </row>
    <row r="1655">
      <c r="K1655" s="26" t="s">
        <v>461</v>
      </c>
      <c r="L1655" s="26" t="s">
        <v>461</v>
      </c>
    </row>
    <row r="1656">
      <c r="K1656" s="26" t="s">
        <v>461</v>
      </c>
      <c r="L1656" s="26" t="s">
        <v>461</v>
      </c>
    </row>
    <row r="1657">
      <c r="K1657" s="26" t="s">
        <v>461</v>
      </c>
      <c r="L1657" s="26" t="s">
        <v>461</v>
      </c>
    </row>
    <row r="1658">
      <c r="K1658" s="26" t="s">
        <v>461</v>
      </c>
      <c r="L1658" s="26" t="s">
        <v>461</v>
      </c>
    </row>
    <row r="1659">
      <c r="K1659" s="26" t="s">
        <v>461</v>
      </c>
      <c r="L1659" s="26" t="s">
        <v>461</v>
      </c>
    </row>
    <row r="1660">
      <c r="K1660" s="26" t="s">
        <v>461</v>
      </c>
      <c r="L1660" s="26" t="s">
        <v>461</v>
      </c>
    </row>
    <row r="1661">
      <c r="K1661" s="26" t="s">
        <v>461</v>
      </c>
      <c r="L1661" s="26" t="s">
        <v>461</v>
      </c>
    </row>
    <row r="1662">
      <c r="K1662" s="26" t="s">
        <v>461</v>
      </c>
      <c r="L1662" s="26" t="s">
        <v>461</v>
      </c>
    </row>
    <row r="1663">
      <c r="K1663" s="26" t="s">
        <v>461</v>
      </c>
      <c r="L1663" s="26" t="s">
        <v>461</v>
      </c>
    </row>
    <row r="1664">
      <c r="K1664" s="26" t="s">
        <v>461</v>
      </c>
      <c r="L1664" s="26" t="s">
        <v>461</v>
      </c>
    </row>
    <row r="1665">
      <c r="K1665" s="26" t="s">
        <v>461</v>
      </c>
      <c r="L1665" s="26" t="s">
        <v>461</v>
      </c>
    </row>
    <row r="1666">
      <c r="K1666" s="26" t="s">
        <v>461</v>
      </c>
      <c r="L1666" s="26" t="s">
        <v>461</v>
      </c>
    </row>
    <row r="1667">
      <c r="K1667" s="26" t="s">
        <v>461</v>
      </c>
      <c r="L1667" s="26" t="s">
        <v>461</v>
      </c>
    </row>
    <row r="1668">
      <c r="K1668" s="26" t="s">
        <v>461</v>
      </c>
      <c r="L1668" s="26" t="s">
        <v>461</v>
      </c>
    </row>
    <row r="1669">
      <c r="K1669" s="26" t="s">
        <v>461</v>
      </c>
      <c r="L1669" s="26" t="s">
        <v>461</v>
      </c>
    </row>
    <row r="1670">
      <c r="K1670" s="26" t="s">
        <v>461</v>
      </c>
      <c r="L1670" s="26" t="s">
        <v>461</v>
      </c>
    </row>
    <row r="1671">
      <c r="K1671" s="26" t="s">
        <v>461</v>
      </c>
      <c r="L1671" s="26" t="s">
        <v>461</v>
      </c>
    </row>
    <row r="1672">
      <c r="K1672" s="26" t="s">
        <v>461</v>
      </c>
      <c r="L1672" s="26" t="s">
        <v>461</v>
      </c>
    </row>
    <row r="1673">
      <c r="K1673" s="26" t="s">
        <v>461</v>
      </c>
      <c r="L1673" s="26" t="s">
        <v>461</v>
      </c>
    </row>
    <row r="1674">
      <c r="K1674" s="26" t="s">
        <v>461</v>
      </c>
      <c r="L1674" s="26" t="s">
        <v>461</v>
      </c>
    </row>
    <row r="1675">
      <c r="K1675" s="26" t="s">
        <v>461</v>
      </c>
      <c r="L1675" s="26" t="s">
        <v>461</v>
      </c>
    </row>
    <row r="1676">
      <c r="K1676" s="26" t="s">
        <v>461</v>
      </c>
      <c r="L1676" s="26" t="s">
        <v>461</v>
      </c>
    </row>
    <row r="1677">
      <c r="K1677" s="26" t="s">
        <v>461</v>
      </c>
      <c r="L1677" s="26" t="s">
        <v>461</v>
      </c>
    </row>
    <row r="1678">
      <c r="K1678" s="26" t="s">
        <v>461</v>
      </c>
      <c r="L1678" s="26" t="s">
        <v>461</v>
      </c>
    </row>
    <row r="1679">
      <c r="K1679" s="26" t="s">
        <v>461</v>
      </c>
      <c r="L1679" s="26" t="s">
        <v>461</v>
      </c>
    </row>
    <row r="1680">
      <c r="K1680" s="26" t="s">
        <v>461</v>
      </c>
      <c r="L1680" s="26" t="s">
        <v>461</v>
      </c>
    </row>
    <row r="1681">
      <c r="K1681" s="26" t="s">
        <v>461</v>
      </c>
      <c r="L1681" s="26" t="s">
        <v>461</v>
      </c>
    </row>
    <row r="1682">
      <c r="K1682" s="26" t="s">
        <v>461</v>
      </c>
      <c r="L1682" s="26" t="s">
        <v>461</v>
      </c>
    </row>
    <row r="1683">
      <c r="K1683" s="26" t="s">
        <v>461</v>
      </c>
      <c r="L1683" s="26" t="s">
        <v>461</v>
      </c>
    </row>
    <row r="1684">
      <c r="K1684" s="26" t="s">
        <v>461</v>
      </c>
      <c r="L1684" s="26" t="s">
        <v>461</v>
      </c>
    </row>
    <row r="1685">
      <c r="K1685" s="26" t="s">
        <v>461</v>
      </c>
      <c r="L1685" s="26" t="s">
        <v>461</v>
      </c>
    </row>
    <row r="1686">
      <c r="K1686" s="26" t="s">
        <v>461</v>
      </c>
      <c r="L1686" s="26" t="s">
        <v>461</v>
      </c>
    </row>
    <row r="1687">
      <c r="K1687" s="26" t="s">
        <v>461</v>
      </c>
      <c r="L1687" s="26" t="s">
        <v>461</v>
      </c>
    </row>
    <row r="1688">
      <c r="K1688" s="26" t="s">
        <v>461</v>
      </c>
      <c r="L1688" s="26" t="s">
        <v>461</v>
      </c>
    </row>
    <row r="1689">
      <c r="K1689" s="26" t="s">
        <v>461</v>
      </c>
      <c r="L1689" s="26" t="s">
        <v>461</v>
      </c>
    </row>
    <row r="1690">
      <c r="K1690" s="26" t="s">
        <v>461</v>
      </c>
      <c r="L1690" s="26" t="s">
        <v>461</v>
      </c>
    </row>
    <row r="1691">
      <c r="K1691" s="26" t="s">
        <v>461</v>
      </c>
      <c r="L1691" s="26" t="s">
        <v>461</v>
      </c>
    </row>
    <row r="1692">
      <c r="K1692" s="26" t="s">
        <v>461</v>
      </c>
      <c r="L1692" s="26" t="s">
        <v>461</v>
      </c>
    </row>
    <row r="1693">
      <c r="K1693" s="26" t="s">
        <v>461</v>
      </c>
      <c r="L1693" s="26" t="s">
        <v>461</v>
      </c>
    </row>
    <row r="1694">
      <c r="K1694" s="26" t="s">
        <v>461</v>
      </c>
      <c r="L1694" s="26" t="s">
        <v>461</v>
      </c>
    </row>
    <row r="1695">
      <c r="K1695" s="26" t="s">
        <v>461</v>
      </c>
      <c r="L1695" s="26" t="s">
        <v>461</v>
      </c>
    </row>
    <row r="1696">
      <c r="K1696" s="26" t="s">
        <v>461</v>
      </c>
      <c r="L1696" s="26" t="s">
        <v>461</v>
      </c>
    </row>
    <row r="1697">
      <c r="K1697" s="26" t="s">
        <v>461</v>
      </c>
      <c r="L1697" s="26" t="s">
        <v>461</v>
      </c>
    </row>
    <row r="1698">
      <c r="K1698" s="26" t="s">
        <v>461</v>
      </c>
      <c r="L1698" s="26" t="s">
        <v>461</v>
      </c>
    </row>
    <row r="1699">
      <c r="K1699" s="26" t="s">
        <v>461</v>
      </c>
      <c r="L1699" s="26" t="s">
        <v>461</v>
      </c>
    </row>
    <row r="1700">
      <c r="K1700" s="26" t="s">
        <v>461</v>
      </c>
      <c r="L1700" s="26" t="s">
        <v>461</v>
      </c>
    </row>
    <row r="1701">
      <c r="K1701" s="26" t="s">
        <v>461</v>
      </c>
      <c r="L1701" s="26" t="s">
        <v>461</v>
      </c>
    </row>
    <row r="1702">
      <c r="K1702" s="26" t="s">
        <v>461</v>
      </c>
      <c r="L1702" s="26" t="s">
        <v>461</v>
      </c>
    </row>
    <row r="1703">
      <c r="K1703" s="26" t="s">
        <v>461</v>
      </c>
      <c r="L1703" s="26" t="s">
        <v>461</v>
      </c>
    </row>
    <row r="1704">
      <c r="K1704" s="26" t="s">
        <v>461</v>
      </c>
      <c r="L1704" s="26" t="s">
        <v>461</v>
      </c>
    </row>
    <row r="1705">
      <c r="K1705" s="26" t="s">
        <v>461</v>
      </c>
      <c r="L1705" s="26" t="s">
        <v>461</v>
      </c>
    </row>
    <row r="1706">
      <c r="K1706" s="26" t="s">
        <v>461</v>
      </c>
      <c r="L1706" s="26" t="s">
        <v>461</v>
      </c>
    </row>
    <row r="1707">
      <c r="K1707" s="26" t="s">
        <v>461</v>
      </c>
      <c r="L1707" s="26" t="s">
        <v>461</v>
      </c>
    </row>
    <row r="1708">
      <c r="K1708" s="26" t="s">
        <v>461</v>
      </c>
      <c r="L1708" s="26" t="s">
        <v>461</v>
      </c>
    </row>
    <row r="1709">
      <c r="K1709" s="26" t="s">
        <v>461</v>
      </c>
      <c r="L1709" s="26" t="s">
        <v>461</v>
      </c>
    </row>
    <row r="1710">
      <c r="K1710" s="26" t="s">
        <v>461</v>
      </c>
      <c r="L1710" s="26" t="s">
        <v>461</v>
      </c>
    </row>
    <row r="1711">
      <c r="K1711" s="26" t="s">
        <v>461</v>
      </c>
      <c r="L1711" s="26" t="s">
        <v>461</v>
      </c>
    </row>
    <row r="1712">
      <c r="K1712" s="26" t="s">
        <v>461</v>
      </c>
      <c r="L1712" s="26" t="s">
        <v>461</v>
      </c>
    </row>
    <row r="1713">
      <c r="K1713" s="26" t="s">
        <v>461</v>
      </c>
      <c r="L1713" s="26" t="s">
        <v>461</v>
      </c>
    </row>
    <row r="1714">
      <c r="K1714" s="26" t="s">
        <v>461</v>
      </c>
      <c r="L1714" s="26" t="s">
        <v>461</v>
      </c>
    </row>
    <row r="1715">
      <c r="K1715" s="26" t="s">
        <v>461</v>
      </c>
      <c r="L1715" s="26" t="s">
        <v>461</v>
      </c>
    </row>
    <row r="1716">
      <c r="K1716" s="26" t="s">
        <v>461</v>
      </c>
      <c r="L1716" s="26" t="s">
        <v>461</v>
      </c>
    </row>
    <row r="1717">
      <c r="K1717" s="26" t="s">
        <v>461</v>
      </c>
      <c r="L1717" s="26" t="s">
        <v>461</v>
      </c>
    </row>
    <row r="1718">
      <c r="K1718" s="26" t="s">
        <v>461</v>
      </c>
      <c r="L1718" s="26" t="s">
        <v>461</v>
      </c>
    </row>
    <row r="1719">
      <c r="K1719" s="26" t="s">
        <v>461</v>
      </c>
      <c r="L1719" s="26" t="s">
        <v>461</v>
      </c>
    </row>
    <row r="1720">
      <c r="K1720" s="26" t="s">
        <v>461</v>
      </c>
      <c r="L1720" s="26" t="s">
        <v>461</v>
      </c>
    </row>
    <row r="1721">
      <c r="K1721" s="26" t="s">
        <v>461</v>
      </c>
      <c r="L1721" s="26" t="s">
        <v>461</v>
      </c>
    </row>
    <row r="1722">
      <c r="K1722" s="26" t="s">
        <v>461</v>
      </c>
      <c r="L1722" s="26" t="s">
        <v>461</v>
      </c>
    </row>
    <row r="1723">
      <c r="K1723" s="26" t="s">
        <v>461</v>
      </c>
      <c r="L1723" s="26" t="s">
        <v>461</v>
      </c>
    </row>
    <row r="1724">
      <c r="K1724" s="26" t="s">
        <v>461</v>
      </c>
      <c r="L1724" s="26" t="s">
        <v>461</v>
      </c>
    </row>
    <row r="1725">
      <c r="K1725" s="26" t="s">
        <v>461</v>
      </c>
      <c r="L1725" s="26" t="s">
        <v>461</v>
      </c>
    </row>
    <row r="1726">
      <c r="K1726" s="26" t="s">
        <v>461</v>
      </c>
      <c r="L1726" s="26" t="s">
        <v>461</v>
      </c>
    </row>
    <row r="1727">
      <c r="K1727" s="26" t="s">
        <v>461</v>
      </c>
      <c r="L1727" s="26" t="s">
        <v>461</v>
      </c>
    </row>
    <row r="1728">
      <c r="K1728" s="26" t="s">
        <v>461</v>
      </c>
      <c r="L1728" s="26" t="s">
        <v>461</v>
      </c>
    </row>
    <row r="1729">
      <c r="K1729" s="26" t="s">
        <v>461</v>
      </c>
      <c r="L1729" s="26" t="s">
        <v>461</v>
      </c>
    </row>
    <row r="1730">
      <c r="K1730" s="26" t="s">
        <v>461</v>
      </c>
      <c r="L1730" s="26" t="s">
        <v>461</v>
      </c>
    </row>
    <row r="1731">
      <c r="K1731" s="26" t="s">
        <v>461</v>
      </c>
      <c r="L1731" s="26" t="s">
        <v>461</v>
      </c>
    </row>
    <row r="1732">
      <c r="K1732" s="26" t="s">
        <v>461</v>
      </c>
      <c r="L1732" s="26" t="s">
        <v>461</v>
      </c>
    </row>
    <row r="1733">
      <c r="K1733" s="26" t="s">
        <v>461</v>
      </c>
      <c r="L1733" s="26" t="s">
        <v>461</v>
      </c>
    </row>
    <row r="1734">
      <c r="K1734" s="26" t="s">
        <v>461</v>
      </c>
      <c r="L1734" s="26" t="s">
        <v>461</v>
      </c>
    </row>
    <row r="1735">
      <c r="K1735" s="26" t="s">
        <v>461</v>
      </c>
      <c r="L1735" s="26" t="s">
        <v>461</v>
      </c>
    </row>
    <row r="1736">
      <c r="K1736" s="26" t="s">
        <v>461</v>
      </c>
      <c r="L1736" s="26" t="s">
        <v>461</v>
      </c>
    </row>
    <row r="1737">
      <c r="K1737" s="26" t="s">
        <v>461</v>
      </c>
      <c r="L1737" s="26" t="s">
        <v>461</v>
      </c>
    </row>
    <row r="1738">
      <c r="K1738" s="26" t="s">
        <v>461</v>
      </c>
      <c r="L1738" s="26" t="s">
        <v>461</v>
      </c>
    </row>
    <row r="1739">
      <c r="K1739" s="26" t="s">
        <v>461</v>
      </c>
      <c r="L1739" s="26" t="s">
        <v>461</v>
      </c>
    </row>
    <row r="1740">
      <c r="K1740" s="26" t="s">
        <v>461</v>
      </c>
      <c r="L1740" s="26" t="s">
        <v>461</v>
      </c>
    </row>
    <row r="1741">
      <c r="K1741" s="26" t="s">
        <v>461</v>
      </c>
      <c r="L1741" s="26" t="s">
        <v>461</v>
      </c>
    </row>
    <row r="1742">
      <c r="K1742" s="26" t="s">
        <v>461</v>
      </c>
      <c r="L1742" s="26" t="s">
        <v>461</v>
      </c>
    </row>
    <row r="1743">
      <c r="K1743" s="26" t="s">
        <v>461</v>
      </c>
      <c r="L1743" s="26" t="s">
        <v>461</v>
      </c>
    </row>
    <row r="1744">
      <c r="K1744" s="26" t="s">
        <v>461</v>
      </c>
      <c r="L1744" s="26" t="s">
        <v>461</v>
      </c>
    </row>
    <row r="1745">
      <c r="K1745" s="26" t="s">
        <v>461</v>
      </c>
      <c r="L1745" s="26" t="s">
        <v>461</v>
      </c>
    </row>
    <row r="1746">
      <c r="K1746" s="26" t="s">
        <v>461</v>
      </c>
      <c r="L1746" s="26" t="s">
        <v>461</v>
      </c>
    </row>
    <row r="1747">
      <c r="K1747" s="26" t="s">
        <v>461</v>
      </c>
      <c r="L1747" s="26" t="s">
        <v>461</v>
      </c>
    </row>
    <row r="1748">
      <c r="K1748" s="26" t="s">
        <v>461</v>
      </c>
      <c r="L1748" s="26" t="s">
        <v>461</v>
      </c>
    </row>
    <row r="1749">
      <c r="K1749" s="26" t="s">
        <v>461</v>
      </c>
      <c r="L1749" s="26" t="s">
        <v>461</v>
      </c>
    </row>
    <row r="1750">
      <c r="K1750" s="26" t="s">
        <v>461</v>
      </c>
      <c r="L1750" s="26" t="s">
        <v>461</v>
      </c>
    </row>
    <row r="1751">
      <c r="K1751" s="26" t="s">
        <v>461</v>
      </c>
      <c r="L1751" s="26" t="s">
        <v>461</v>
      </c>
    </row>
    <row r="1752">
      <c r="K1752" s="26" t="s">
        <v>461</v>
      </c>
      <c r="L1752" s="26" t="s">
        <v>461</v>
      </c>
    </row>
    <row r="1753">
      <c r="K1753" s="26" t="s">
        <v>461</v>
      </c>
      <c r="L1753" s="26" t="s">
        <v>461</v>
      </c>
    </row>
    <row r="1754">
      <c r="K1754" s="26" t="s">
        <v>461</v>
      </c>
      <c r="L1754" s="26" t="s">
        <v>461</v>
      </c>
    </row>
    <row r="1755">
      <c r="K1755" s="26" t="s">
        <v>461</v>
      </c>
      <c r="L1755" s="26" t="s">
        <v>461</v>
      </c>
    </row>
    <row r="1756">
      <c r="K1756" s="26" t="s">
        <v>461</v>
      </c>
      <c r="L1756" s="26" t="s">
        <v>461</v>
      </c>
    </row>
    <row r="1757">
      <c r="K1757" s="26" t="s">
        <v>461</v>
      </c>
      <c r="L1757" s="26" t="s">
        <v>461</v>
      </c>
    </row>
    <row r="1758">
      <c r="K1758" s="26" t="s">
        <v>461</v>
      </c>
      <c r="L1758" s="26" t="s">
        <v>461</v>
      </c>
    </row>
    <row r="1759">
      <c r="K1759" s="26" t="s">
        <v>461</v>
      </c>
      <c r="L1759" s="26" t="s">
        <v>461</v>
      </c>
    </row>
    <row r="1760">
      <c r="K1760" s="26" t="s">
        <v>461</v>
      </c>
      <c r="L1760" s="26" t="s">
        <v>461</v>
      </c>
    </row>
    <row r="1761">
      <c r="K1761" s="26" t="s">
        <v>461</v>
      </c>
      <c r="L1761" s="26" t="s">
        <v>461</v>
      </c>
    </row>
    <row r="1762">
      <c r="K1762" s="26" t="s">
        <v>461</v>
      </c>
      <c r="L1762" s="26" t="s">
        <v>461</v>
      </c>
    </row>
    <row r="1763">
      <c r="K1763" s="26" t="s">
        <v>461</v>
      </c>
      <c r="L1763" s="26" t="s">
        <v>461</v>
      </c>
    </row>
    <row r="1764">
      <c r="K1764" s="26" t="s">
        <v>461</v>
      </c>
      <c r="L1764" s="26" t="s">
        <v>461</v>
      </c>
    </row>
    <row r="1765">
      <c r="K1765" s="26" t="s">
        <v>461</v>
      </c>
      <c r="L1765" s="26" t="s">
        <v>461</v>
      </c>
    </row>
    <row r="1766">
      <c r="K1766" s="26" t="s">
        <v>461</v>
      </c>
      <c r="L1766" s="26" t="s">
        <v>461</v>
      </c>
    </row>
    <row r="1767">
      <c r="K1767" s="26" t="s">
        <v>461</v>
      </c>
      <c r="L1767" s="26" t="s">
        <v>461</v>
      </c>
    </row>
    <row r="1768">
      <c r="K1768" s="26" t="s">
        <v>461</v>
      </c>
      <c r="L1768" s="26" t="s">
        <v>461</v>
      </c>
    </row>
    <row r="1769">
      <c r="K1769" s="26" t="s">
        <v>461</v>
      </c>
      <c r="L1769" s="26" t="s">
        <v>461</v>
      </c>
    </row>
    <row r="1770">
      <c r="K1770" s="26" t="s">
        <v>461</v>
      </c>
      <c r="L1770" s="26" t="s">
        <v>461</v>
      </c>
    </row>
    <row r="1771">
      <c r="K1771" s="26" t="s">
        <v>461</v>
      </c>
      <c r="L1771" s="26" t="s">
        <v>461</v>
      </c>
    </row>
    <row r="1772">
      <c r="K1772" s="26" t="s">
        <v>461</v>
      </c>
      <c r="L1772" s="26" t="s">
        <v>461</v>
      </c>
    </row>
    <row r="1773">
      <c r="K1773" s="26" t="s">
        <v>461</v>
      </c>
      <c r="L1773" s="26" t="s">
        <v>461</v>
      </c>
    </row>
    <row r="1774">
      <c r="K1774" s="26" t="s">
        <v>461</v>
      </c>
      <c r="L1774" s="26" t="s">
        <v>461</v>
      </c>
    </row>
    <row r="1775">
      <c r="K1775" s="26" t="s">
        <v>461</v>
      </c>
      <c r="L1775" s="26" t="s">
        <v>461</v>
      </c>
    </row>
    <row r="1776">
      <c r="K1776" s="26" t="s">
        <v>461</v>
      </c>
      <c r="L1776" s="26" t="s">
        <v>461</v>
      </c>
    </row>
    <row r="1777">
      <c r="K1777" s="26" t="s">
        <v>461</v>
      </c>
      <c r="L1777" s="26" t="s">
        <v>461</v>
      </c>
    </row>
    <row r="1778">
      <c r="K1778" s="26" t="s">
        <v>461</v>
      </c>
      <c r="L1778" s="26" t="s">
        <v>461</v>
      </c>
    </row>
    <row r="1779">
      <c r="K1779" s="26" t="s">
        <v>461</v>
      </c>
      <c r="L1779" s="26" t="s">
        <v>461</v>
      </c>
    </row>
    <row r="1780">
      <c r="K1780" s="26" t="s">
        <v>461</v>
      </c>
      <c r="L1780" s="26" t="s">
        <v>461</v>
      </c>
    </row>
    <row r="1781">
      <c r="K1781" s="26" t="s">
        <v>461</v>
      </c>
      <c r="L1781" s="26" t="s">
        <v>461</v>
      </c>
    </row>
    <row r="1782">
      <c r="K1782" s="26" t="s">
        <v>461</v>
      </c>
      <c r="L1782" s="26" t="s">
        <v>461</v>
      </c>
    </row>
    <row r="1783">
      <c r="K1783" s="26" t="s">
        <v>461</v>
      </c>
      <c r="L1783" s="26" t="s">
        <v>461</v>
      </c>
    </row>
    <row r="1784">
      <c r="K1784" s="26" t="s">
        <v>461</v>
      </c>
      <c r="L1784" s="26" t="s">
        <v>461</v>
      </c>
    </row>
    <row r="1785">
      <c r="K1785" s="26" t="s">
        <v>461</v>
      </c>
      <c r="L1785" s="26" t="s">
        <v>461</v>
      </c>
    </row>
    <row r="1786">
      <c r="K1786" s="26" t="s">
        <v>461</v>
      </c>
      <c r="L1786" s="26" t="s">
        <v>461</v>
      </c>
    </row>
    <row r="1787">
      <c r="K1787" s="26" t="s">
        <v>461</v>
      </c>
      <c r="L1787" s="26" t="s">
        <v>461</v>
      </c>
    </row>
    <row r="1788">
      <c r="K1788" s="26" t="s">
        <v>461</v>
      </c>
      <c r="L1788" s="26" t="s">
        <v>461</v>
      </c>
    </row>
    <row r="1789">
      <c r="K1789" s="26" t="s">
        <v>461</v>
      </c>
      <c r="L1789" s="26" t="s">
        <v>461</v>
      </c>
    </row>
    <row r="1790">
      <c r="K1790" s="26" t="s">
        <v>461</v>
      </c>
      <c r="L1790" s="26" t="s">
        <v>461</v>
      </c>
    </row>
    <row r="1791">
      <c r="K1791" s="26" t="s">
        <v>461</v>
      </c>
      <c r="L1791" s="26" t="s">
        <v>461</v>
      </c>
    </row>
    <row r="1792">
      <c r="K1792" s="26" t="s">
        <v>461</v>
      </c>
      <c r="L1792" s="26" t="s">
        <v>461</v>
      </c>
    </row>
    <row r="1793">
      <c r="K1793" s="26" t="s">
        <v>461</v>
      </c>
      <c r="L1793" s="26" t="s">
        <v>461</v>
      </c>
    </row>
    <row r="1794">
      <c r="K1794" s="26" t="s">
        <v>461</v>
      </c>
      <c r="L1794" s="26" t="s">
        <v>461</v>
      </c>
    </row>
    <row r="1795">
      <c r="K1795" s="26" t="s">
        <v>461</v>
      </c>
      <c r="L1795" s="26" t="s">
        <v>461</v>
      </c>
    </row>
    <row r="1796">
      <c r="K1796" s="26" t="s">
        <v>461</v>
      </c>
      <c r="L1796" s="26" t="s">
        <v>461</v>
      </c>
    </row>
    <row r="1797">
      <c r="K1797" s="26" t="s">
        <v>461</v>
      </c>
      <c r="L1797" s="26" t="s">
        <v>461</v>
      </c>
    </row>
    <row r="1798">
      <c r="K1798" s="26" t="s">
        <v>461</v>
      </c>
      <c r="L1798" s="26" t="s">
        <v>461</v>
      </c>
    </row>
    <row r="1799">
      <c r="K1799" s="26" t="s">
        <v>461</v>
      </c>
      <c r="L1799" s="26" t="s">
        <v>461</v>
      </c>
    </row>
    <row r="1800">
      <c r="K1800" s="26" t="s">
        <v>461</v>
      </c>
      <c r="L1800" s="26" t="s">
        <v>461</v>
      </c>
    </row>
    <row r="1801">
      <c r="K1801" s="26" t="s">
        <v>461</v>
      </c>
      <c r="L1801" s="26" t="s">
        <v>461</v>
      </c>
    </row>
    <row r="1802">
      <c r="K1802" s="26" t="s">
        <v>461</v>
      </c>
      <c r="L1802" s="26" t="s">
        <v>461</v>
      </c>
    </row>
    <row r="1803">
      <c r="K1803" s="26" t="s">
        <v>461</v>
      </c>
      <c r="L1803" s="26" t="s">
        <v>461</v>
      </c>
    </row>
    <row r="1804">
      <c r="K1804" s="26" t="s">
        <v>461</v>
      </c>
      <c r="L1804" s="26" t="s">
        <v>461</v>
      </c>
    </row>
    <row r="1805">
      <c r="K1805" s="26" t="s">
        <v>461</v>
      </c>
      <c r="L1805" s="26" t="s">
        <v>461</v>
      </c>
    </row>
    <row r="1806">
      <c r="K1806" s="26" t="s">
        <v>461</v>
      </c>
      <c r="L1806" s="26" t="s">
        <v>461</v>
      </c>
    </row>
    <row r="1807">
      <c r="K1807" s="26" t="s">
        <v>461</v>
      </c>
      <c r="L1807" s="26" t="s">
        <v>461</v>
      </c>
    </row>
    <row r="1808">
      <c r="K1808" s="26" t="s">
        <v>461</v>
      </c>
      <c r="L1808" s="26" t="s">
        <v>461</v>
      </c>
    </row>
    <row r="1809">
      <c r="K1809" s="26" t="s">
        <v>461</v>
      </c>
      <c r="L1809" s="26" t="s">
        <v>461</v>
      </c>
    </row>
    <row r="1810">
      <c r="K1810" s="26" t="s">
        <v>461</v>
      </c>
      <c r="L1810" s="26" t="s">
        <v>461</v>
      </c>
    </row>
    <row r="1811">
      <c r="K1811" s="26" t="s">
        <v>461</v>
      </c>
      <c r="L1811" s="26" t="s">
        <v>461</v>
      </c>
    </row>
    <row r="1812">
      <c r="K1812" s="26" t="s">
        <v>461</v>
      </c>
      <c r="L1812" s="26" t="s">
        <v>461</v>
      </c>
    </row>
    <row r="1813">
      <c r="K1813" s="26" t="s">
        <v>461</v>
      </c>
      <c r="L1813" s="26" t="s">
        <v>461</v>
      </c>
    </row>
    <row r="1814">
      <c r="K1814" s="26" t="s">
        <v>461</v>
      </c>
      <c r="L1814" s="26" t="s">
        <v>461</v>
      </c>
    </row>
    <row r="1815">
      <c r="K1815" s="26" t="s">
        <v>461</v>
      </c>
      <c r="L1815" s="26" t="s">
        <v>461</v>
      </c>
    </row>
    <row r="1816">
      <c r="K1816" s="26" t="s">
        <v>461</v>
      </c>
      <c r="L1816" s="26" t="s">
        <v>461</v>
      </c>
    </row>
    <row r="1817">
      <c r="K1817" s="26" t="s">
        <v>461</v>
      </c>
      <c r="L1817" s="26" t="s">
        <v>461</v>
      </c>
    </row>
    <row r="1818">
      <c r="K1818" s="26" t="s">
        <v>461</v>
      </c>
      <c r="L1818" s="26" t="s">
        <v>461</v>
      </c>
    </row>
    <row r="1819">
      <c r="K1819" s="26" t="s">
        <v>461</v>
      </c>
      <c r="L1819" s="26" t="s">
        <v>461</v>
      </c>
    </row>
    <row r="1820">
      <c r="K1820" s="26" t="s">
        <v>461</v>
      </c>
      <c r="L1820" s="26" t="s">
        <v>461</v>
      </c>
    </row>
    <row r="1821">
      <c r="K1821" s="26" t="s">
        <v>461</v>
      </c>
      <c r="L1821" s="26" t="s">
        <v>461</v>
      </c>
    </row>
    <row r="1822">
      <c r="K1822" s="26" t="s">
        <v>461</v>
      </c>
      <c r="L1822" s="26" t="s">
        <v>461</v>
      </c>
    </row>
    <row r="1823">
      <c r="K1823" s="26" t="s">
        <v>461</v>
      </c>
      <c r="L1823" s="26" t="s">
        <v>461</v>
      </c>
    </row>
    <row r="1824">
      <c r="K1824" s="26" t="s">
        <v>461</v>
      </c>
      <c r="L1824" s="26" t="s">
        <v>461</v>
      </c>
    </row>
    <row r="1825">
      <c r="K1825" s="26" t="s">
        <v>461</v>
      </c>
      <c r="L1825" s="26" t="s">
        <v>461</v>
      </c>
    </row>
    <row r="1826">
      <c r="K1826" s="26" t="s">
        <v>461</v>
      </c>
      <c r="L1826" s="26" t="s">
        <v>461</v>
      </c>
    </row>
    <row r="1827">
      <c r="K1827" s="26" t="s">
        <v>461</v>
      </c>
      <c r="L1827" s="26" t="s">
        <v>461</v>
      </c>
    </row>
    <row r="1828">
      <c r="K1828" s="26" t="s">
        <v>461</v>
      </c>
      <c r="L1828" s="26" t="s">
        <v>461</v>
      </c>
    </row>
    <row r="1829">
      <c r="K1829" s="26" t="s">
        <v>461</v>
      </c>
      <c r="L1829" s="26" t="s">
        <v>461</v>
      </c>
    </row>
    <row r="1830">
      <c r="K1830" s="26" t="s">
        <v>461</v>
      </c>
      <c r="L1830" s="26" t="s">
        <v>461</v>
      </c>
    </row>
    <row r="1831">
      <c r="K1831" s="26" t="s">
        <v>461</v>
      </c>
      <c r="L1831" s="26" t="s">
        <v>461</v>
      </c>
    </row>
    <row r="1832">
      <c r="K1832" s="26" t="s">
        <v>461</v>
      </c>
      <c r="L1832" s="26" t="s">
        <v>461</v>
      </c>
    </row>
    <row r="1833">
      <c r="K1833" s="26" t="s">
        <v>461</v>
      </c>
      <c r="L1833" s="26" t="s">
        <v>461</v>
      </c>
    </row>
    <row r="1834">
      <c r="K1834" s="26" t="s">
        <v>461</v>
      </c>
      <c r="L1834" s="26" t="s">
        <v>461</v>
      </c>
    </row>
    <row r="1835">
      <c r="K1835" s="26" t="s">
        <v>461</v>
      </c>
      <c r="L1835" s="26" t="s">
        <v>461</v>
      </c>
    </row>
    <row r="1836">
      <c r="K1836" s="26" t="s">
        <v>461</v>
      </c>
      <c r="L1836" s="26" t="s">
        <v>461</v>
      </c>
    </row>
    <row r="1837">
      <c r="K1837" s="26" t="s">
        <v>461</v>
      </c>
      <c r="L1837" s="26" t="s">
        <v>461</v>
      </c>
    </row>
    <row r="1838">
      <c r="K1838" s="26" t="s">
        <v>461</v>
      </c>
      <c r="L1838" s="26" t="s">
        <v>461</v>
      </c>
    </row>
    <row r="1839">
      <c r="K1839" s="26" t="s">
        <v>461</v>
      </c>
      <c r="L1839" s="26" t="s">
        <v>461</v>
      </c>
    </row>
    <row r="1840">
      <c r="K1840" s="26" t="s">
        <v>461</v>
      </c>
      <c r="L1840" s="26" t="s">
        <v>461</v>
      </c>
    </row>
    <row r="1841">
      <c r="K1841" s="26" t="s">
        <v>461</v>
      </c>
      <c r="L1841" s="26" t="s">
        <v>461</v>
      </c>
    </row>
    <row r="1842">
      <c r="K1842" s="26" t="s">
        <v>461</v>
      </c>
      <c r="L1842" s="26" t="s">
        <v>461</v>
      </c>
    </row>
    <row r="1843">
      <c r="K1843" s="26" t="s">
        <v>461</v>
      </c>
      <c r="L1843" s="26" t="s">
        <v>461</v>
      </c>
    </row>
    <row r="1844">
      <c r="K1844" s="26" t="s">
        <v>461</v>
      </c>
      <c r="L1844" s="26" t="s">
        <v>461</v>
      </c>
    </row>
    <row r="1845">
      <c r="K1845" s="26" t="s">
        <v>461</v>
      </c>
      <c r="L1845" s="26" t="s">
        <v>461</v>
      </c>
    </row>
    <row r="1846">
      <c r="K1846" s="26" t="s">
        <v>461</v>
      </c>
      <c r="L1846" s="26" t="s">
        <v>461</v>
      </c>
    </row>
    <row r="1847">
      <c r="K1847" s="26" t="s">
        <v>461</v>
      </c>
      <c r="L1847" s="26" t="s">
        <v>461</v>
      </c>
    </row>
    <row r="1848">
      <c r="K1848" s="26" t="s">
        <v>461</v>
      </c>
      <c r="L1848" s="26" t="s">
        <v>461</v>
      </c>
    </row>
    <row r="1849">
      <c r="K1849" s="26" t="s">
        <v>461</v>
      </c>
      <c r="L1849" s="26" t="s">
        <v>461</v>
      </c>
    </row>
    <row r="1850">
      <c r="K1850" s="26" t="s">
        <v>461</v>
      </c>
      <c r="L1850" s="26" t="s">
        <v>461</v>
      </c>
    </row>
    <row r="1851">
      <c r="K1851" s="26" t="s">
        <v>461</v>
      </c>
      <c r="L1851" s="26" t="s">
        <v>461</v>
      </c>
    </row>
    <row r="1852">
      <c r="K1852" s="26" t="s">
        <v>461</v>
      </c>
      <c r="L1852" s="26" t="s">
        <v>461</v>
      </c>
    </row>
    <row r="1853">
      <c r="K1853" s="26" t="s">
        <v>461</v>
      </c>
      <c r="L1853" s="26" t="s">
        <v>461</v>
      </c>
    </row>
    <row r="1854">
      <c r="K1854" s="26" t="s">
        <v>461</v>
      </c>
      <c r="L1854" s="26" t="s">
        <v>461</v>
      </c>
    </row>
    <row r="1855">
      <c r="K1855" s="26" t="s">
        <v>461</v>
      </c>
      <c r="L1855" s="26" t="s">
        <v>461</v>
      </c>
    </row>
    <row r="1856">
      <c r="K1856" s="26" t="s">
        <v>461</v>
      </c>
      <c r="L1856" s="26" t="s">
        <v>461</v>
      </c>
    </row>
    <row r="1857">
      <c r="K1857" s="26" t="s">
        <v>461</v>
      </c>
      <c r="L1857" s="26" t="s">
        <v>461</v>
      </c>
    </row>
    <row r="1858">
      <c r="K1858" s="26" t="s">
        <v>461</v>
      </c>
      <c r="L1858" s="26" t="s">
        <v>461</v>
      </c>
    </row>
    <row r="1859">
      <c r="K1859" s="26" t="s">
        <v>461</v>
      </c>
      <c r="L1859" s="26" t="s">
        <v>461</v>
      </c>
    </row>
    <row r="1860">
      <c r="K1860" s="26" t="s">
        <v>461</v>
      </c>
      <c r="L1860" s="26" t="s">
        <v>461</v>
      </c>
    </row>
    <row r="1861">
      <c r="K1861" s="26" t="s">
        <v>461</v>
      </c>
      <c r="L1861" s="26" t="s">
        <v>461</v>
      </c>
    </row>
    <row r="1862">
      <c r="K1862" s="26" t="s">
        <v>461</v>
      </c>
      <c r="L1862" s="26" t="s">
        <v>461</v>
      </c>
    </row>
    <row r="1863">
      <c r="K1863" s="26" t="s">
        <v>461</v>
      </c>
      <c r="L1863" s="26" t="s">
        <v>461</v>
      </c>
    </row>
    <row r="1864">
      <c r="K1864" s="26" t="s">
        <v>461</v>
      </c>
      <c r="L1864" s="26" t="s">
        <v>461</v>
      </c>
    </row>
    <row r="1865">
      <c r="K1865" s="26" t="s">
        <v>461</v>
      </c>
      <c r="L1865" s="26" t="s">
        <v>461</v>
      </c>
    </row>
    <row r="1866">
      <c r="K1866" s="26" t="s">
        <v>461</v>
      </c>
      <c r="L1866" s="26" t="s">
        <v>461</v>
      </c>
    </row>
    <row r="1867">
      <c r="K1867" s="26" t="s">
        <v>461</v>
      </c>
      <c r="L1867" s="26" t="s">
        <v>461</v>
      </c>
    </row>
    <row r="1868">
      <c r="K1868" s="26" t="s">
        <v>461</v>
      </c>
      <c r="L1868" s="26" t="s">
        <v>461</v>
      </c>
    </row>
    <row r="1869">
      <c r="K1869" s="26" t="s">
        <v>461</v>
      </c>
      <c r="L1869" s="26" t="s">
        <v>461</v>
      </c>
    </row>
    <row r="1870">
      <c r="K1870" s="26" t="s">
        <v>461</v>
      </c>
      <c r="L1870" s="26" t="s">
        <v>461</v>
      </c>
    </row>
    <row r="1871">
      <c r="K1871" s="26" t="s">
        <v>461</v>
      </c>
      <c r="L1871" s="26" t="s">
        <v>461</v>
      </c>
    </row>
    <row r="1872">
      <c r="K1872" s="26" t="s">
        <v>461</v>
      </c>
      <c r="L1872" s="26" t="s">
        <v>461</v>
      </c>
    </row>
    <row r="1873">
      <c r="K1873" s="26" t="s">
        <v>461</v>
      </c>
      <c r="L1873" s="26" t="s">
        <v>461</v>
      </c>
    </row>
    <row r="1874">
      <c r="K1874" s="26" t="s">
        <v>461</v>
      </c>
      <c r="L1874" s="26" t="s">
        <v>461</v>
      </c>
    </row>
    <row r="1875">
      <c r="K1875" s="26" t="s">
        <v>461</v>
      </c>
      <c r="L1875" s="26" t="s">
        <v>461</v>
      </c>
    </row>
    <row r="1876">
      <c r="K1876" s="26" t="s">
        <v>461</v>
      </c>
      <c r="L1876" s="26" t="s">
        <v>461</v>
      </c>
    </row>
    <row r="1877">
      <c r="K1877" s="26" t="s">
        <v>461</v>
      </c>
      <c r="L1877" s="26" t="s">
        <v>461</v>
      </c>
    </row>
    <row r="1878">
      <c r="K1878" s="26" t="s">
        <v>461</v>
      </c>
      <c r="L1878" s="26" t="s">
        <v>461</v>
      </c>
    </row>
    <row r="1879">
      <c r="K1879" s="26" t="s">
        <v>461</v>
      </c>
      <c r="L1879" s="26" t="s">
        <v>461</v>
      </c>
    </row>
    <row r="1880">
      <c r="K1880" s="26" t="s">
        <v>461</v>
      </c>
      <c r="L1880" s="26" t="s">
        <v>461</v>
      </c>
    </row>
    <row r="1881">
      <c r="K1881" s="26" t="s">
        <v>461</v>
      </c>
      <c r="L1881" s="26" t="s">
        <v>461</v>
      </c>
    </row>
    <row r="1882">
      <c r="K1882" s="26" t="s">
        <v>461</v>
      </c>
      <c r="L1882" s="26" t="s">
        <v>461</v>
      </c>
    </row>
    <row r="1883">
      <c r="K1883" s="26" t="s">
        <v>461</v>
      </c>
      <c r="L1883" s="26" t="s">
        <v>461</v>
      </c>
    </row>
    <row r="1884">
      <c r="K1884" s="26" t="s">
        <v>461</v>
      </c>
      <c r="L1884" s="26" t="s">
        <v>461</v>
      </c>
    </row>
    <row r="1885">
      <c r="K1885" s="26" t="s">
        <v>461</v>
      </c>
      <c r="L1885" s="26" t="s">
        <v>461</v>
      </c>
    </row>
    <row r="1886">
      <c r="K1886" s="26" t="s">
        <v>461</v>
      </c>
      <c r="L1886" s="26" t="s">
        <v>461</v>
      </c>
    </row>
    <row r="1887">
      <c r="K1887" s="26" t="s">
        <v>461</v>
      </c>
      <c r="L1887" s="26" t="s">
        <v>461</v>
      </c>
    </row>
    <row r="1888">
      <c r="K1888" s="26" t="s">
        <v>461</v>
      </c>
      <c r="L1888" s="26" t="s">
        <v>461</v>
      </c>
    </row>
    <row r="1889">
      <c r="K1889" s="26" t="s">
        <v>461</v>
      </c>
      <c r="L1889" s="26" t="s">
        <v>461</v>
      </c>
    </row>
    <row r="1890">
      <c r="K1890" s="26" t="s">
        <v>461</v>
      </c>
      <c r="L1890" s="26" t="s">
        <v>461</v>
      </c>
    </row>
    <row r="1891">
      <c r="K1891" s="26" t="s">
        <v>461</v>
      </c>
      <c r="L1891" s="26" t="s">
        <v>461</v>
      </c>
    </row>
    <row r="1892">
      <c r="K1892" s="26" t="s">
        <v>461</v>
      </c>
      <c r="L1892" s="26" t="s">
        <v>461</v>
      </c>
    </row>
    <row r="1893">
      <c r="K1893" s="26" t="s">
        <v>461</v>
      </c>
      <c r="L1893" s="26" t="s">
        <v>461</v>
      </c>
    </row>
    <row r="1894">
      <c r="K1894" s="26" t="s">
        <v>461</v>
      </c>
      <c r="L1894" s="26" t="s">
        <v>461</v>
      </c>
    </row>
    <row r="1895">
      <c r="K1895" s="26" t="s">
        <v>461</v>
      </c>
      <c r="L1895" s="26" t="s">
        <v>461</v>
      </c>
    </row>
    <row r="1896">
      <c r="K1896" s="26" t="s">
        <v>461</v>
      </c>
      <c r="L1896" s="26" t="s">
        <v>461</v>
      </c>
    </row>
    <row r="1897">
      <c r="K1897" s="26" t="s">
        <v>461</v>
      </c>
      <c r="L1897" s="26" t="s">
        <v>461</v>
      </c>
    </row>
    <row r="1898">
      <c r="K1898" s="26" t="s">
        <v>461</v>
      </c>
      <c r="L1898" s="26" t="s">
        <v>461</v>
      </c>
    </row>
    <row r="1899">
      <c r="K1899" s="26" t="s">
        <v>461</v>
      </c>
      <c r="L1899" s="26" t="s">
        <v>461</v>
      </c>
    </row>
    <row r="1900">
      <c r="K1900" s="26" t="s">
        <v>461</v>
      </c>
      <c r="L1900" s="26" t="s">
        <v>461</v>
      </c>
    </row>
    <row r="1901">
      <c r="K1901" s="26" t="s">
        <v>461</v>
      </c>
      <c r="L1901" s="26" t="s">
        <v>461</v>
      </c>
    </row>
    <row r="1902">
      <c r="K1902" s="26" t="s">
        <v>461</v>
      </c>
      <c r="L1902" s="26" t="s">
        <v>461</v>
      </c>
    </row>
    <row r="1903">
      <c r="K1903" s="26" t="s">
        <v>461</v>
      </c>
      <c r="L1903" s="26" t="s">
        <v>461</v>
      </c>
    </row>
    <row r="1904">
      <c r="K1904" s="26" t="s">
        <v>461</v>
      </c>
      <c r="L1904" s="26" t="s">
        <v>461</v>
      </c>
    </row>
    <row r="1905">
      <c r="K1905" s="26" t="s">
        <v>461</v>
      </c>
      <c r="L1905" s="26" t="s">
        <v>461</v>
      </c>
    </row>
    <row r="1906">
      <c r="K1906" s="26" t="s">
        <v>461</v>
      </c>
      <c r="L1906" s="26" t="s">
        <v>461</v>
      </c>
    </row>
    <row r="1907">
      <c r="K1907" s="26" t="s">
        <v>461</v>
      </c>
      <c r="L1907" s="26" t="s">
        <v>461</v>
      </c>
    </row>
    <row r="1908">
      <c r="K1908" s="26" t="s">
        <v>461</v>
      </c>
      <c r="L1908" s="26" t="s">
        <v>461</v>
      </c>
    </row>
    <row r="1909">
      <c r="K1909" s="26" t="s">
        <v>461</v>
      </c>
      <c r="L1909" s="26" t="s">
        <v>461</v>
      </c>
    </row>
    <row r="1910">
      <c r="K1910" s="26" t="s">
        <v>461</v>
      </c>
      <c r="L1910" s="26" t="s">
        <v>461</v>
      </c>
    </row>
    <row r="1911">
      <c r="K1911" s="26" t="s">
        <v>461</v>
      </c>
      <c r="L1911" s="26" t="s">
        <v>461</v>
      </c>
    </row>
    <row r="1912">
      <c r="K1912" s="26" t="s">
        <v>461</v>
      </c>
      <c r="L1912" s="26" t="s">
        <v>461</v>
      </c>
    </row>
    <row r="1913">
      <c r="K1913" s="26" t="s">
        <v>461</v>
      </c>
      <c r="L1913" s="26" t="s">
        <v>461</v>
      </c>
    </row>
    <row r="1914">
      <c r="K1914" s="26" t="s">
        <v>461</v>
      </c>
      <c r="L1914" s="26" t="s">
        <v>461</v>
      </c>
    </row>
    <row r="1915">
      <c r="K1915" s="26" t="s">
        <v>461</v>
      </c>
      <c r="L1915" s="26" t="s">
        <v>461</v>
      </c>
    </row>
    <row r="1916">
      <c r="K1916" s="26" t="s">
        <v>461</v>
      </c>
      <c r="L1916" s="26" t="s">
        <v>461</v>
      </c>
    </row>
    <row r="1917">
      <c r="K1917" s="26" t="s">
        <v>461</v>
      </c>
      <c r="L1917" s="26" t="s">
        <v>461</v>
      </c>
    </row>
    <row r="1918">
      <c r="K1918" s="26" t="s">
        <v>461</v>
      </c>
      <c r="L1918" s="26" t="s">
        <v>461</v>
      </c>
    </row>
    <row r="1919">
      <c r="K1919" s="26" t="s">
        <v>461</v>
      </c>
      <c r="L1919" s="26" t="s">
        <v>461</v>
      </c>
    </row>
    <row r="1920">
      <c r="K1920" s="26" t="s">
        <v>461</v>
      </c>
      <c r="L1920" s="26" t="s">
        <v>461</v>
      </c>
    </row>
    <row r="1921">
      <c r="K1921" s="26" t="s">
        <v>461</v>
      </c>
      <c r="L1921" s="26" t="s">
        <v>461</v>
      </c>
    </row>
    <row r="1922">
      <c r="K1922" s="26" t="s">
        <v>461</v>
      </c>
      <c r="L1922" s="26" t="s">
        <v>461</v>
      </c>
    </row>
    <row r="1923">
      <c r="K1923" s="26" t="s">
        <v>461</v>
      </c>
      <c r="L1923" s="26" t="s">
        <v>461</v>
      </c>
    </row>
    <row r="1924">
      <c r="K1924" s="26" t="s">
        <v>461</v>
      </c>
      <c r="L1924" s="26" t="s">
        <v>461</v>
      </c>
    </row>
    <row r="1925">
      <c r="K1925" s="26" t="s">
        <v>461</v>
      </c>
      <c r="L1925" s="26" t="s">
        <v>461</v>
      </c>
    </row>
    <row r="1926">
      <c r="K1926" s="26" t="s">
        <v>461</v>
      </c>
      <c r="L1926" s="26" t="s">
        <v>461</v>
      </c>
    </row>
    <row r="1927">
      <c r="K1927" s="26" t="s">
        <v>461</v>
      </c>
      <c r="L1927" s="26" t="s">
        <v>461</v>
      </c>
    </row>
    <row r="1928">
      <c r="K1928" s="26" t="s">
        <v>461</v>
      </c>
      <c r="L1928" s="26" t="s">
        <v>461</v>
      </c>
    </row>
    <row r="1929">
      <c r="K1929" s="26" t="s">
        <v>461</v>
      </c>
      <c r="L1929" s="26" t="s">
        <v>461</v>
      </c>
    </row>
    <row r="1930">
      <c r="K1930" s="26" t="s">
        <v>461</v>
      </c>
      <c r="L1930" s="26" t="s">
        <v>461</v>
      </c>
    </row>
    <row r="1931">
      <c r="K1931" s="26" t="s">
        <v>461</v>
      </c>
      <c r="L1931" s="26" t="s">
        <v>461</v>
      </c>
    </row>
    <row r="1932">
      <c r="K1932" s="26" t="s">
        <v>461</v>
      </c>
      <c r="L1932" s="26" t="s">
        <v>461</v>
      </c>
    </row>
    <row r="1933">
      <c r="K1933" s="26" t="s">
        <v>461</v>
      </c>
      <c r="L1933" s="26" t="s">
        <v>461</v>
      </c>
    </row>
    <row r="1934">
      <c r="K1934" s="26" t="s">
        <v>461</v>
      </c>
      <c r="L1934" s="26" t="s">
        <v>461</v>
      </c>
    </row>
    <row r="1935">
      <c r="K1935" s="26" t="s">
        <v>461</v>
      </c>
      <c r="L1935" s="26" t="s">
        <v>461</v>
      </c>
    </row>
    <row r="1936">
      <c r="K1936" s="26" t="s">
        <v>461</v>
      </c>
      <c r="L1936" s="26" t="s">
        <v>461</v>
      </c>
    </row>
    <row r="1937">
      <c r="K1937" s="26" t="s">
        <v>461</v>
      </c>
      <c r="L1937" s="26" t="s">
        <v>461</v>
      </c>
    </row>
    <row r="1938">
      <c r="K1938" s="26" t="s">
        <v>461</v>
      </c>
      <c r="L1938" s="26" t="s">
        <v>461</v>
      </c>
    </row>
    <row r="1939">
      <c r="K1939" s="26" t="s">
        <v>461</v>
      </c>
      <c r="L1939" s="26" t="s">
        <v>461</v>
      </c>
    </row>
    <row r="1940">
      <c r="K1940" s="26" t="s">
        <v>461</v>
      </c>
      <c r="L1940" s="26" t="s">
        <v>461</v>
      </c>
    </row>
    <row r="1941">
      <c r="K1941" s="26" t="s">
        <v>461</v>
      </c>
      <c r="L1941" s="26" t="s">
        <v>461</v>
      </c>
    </row>
    <row r="1942">
      <c r="K1942" s="26" t="s">
        <v>461</v>
      </c>
      <c r="L1942" s="26" t="s">
        <v>461</v>
      </c>
    </row>
    <row r="1943">
      <c r="K1943" s="26" t="s">
        <v>461</v>
      </c>
      <c r="L1943" s="26" t="s">
        <v>461</v>
      </c>
    </row>
    <row r="1944">
      <c r="K1944" s="26" t="s">
        <v>461</v>
      </c>
      <c r="L1944" s="26" t="s">
        <v>461</v>
      </c>
    </row>
    <row r="1945">
      <c r="K1945" s="26" t="s">
        <v>461</v>
      </c>
      <c r="L1945" s="26" t="s">
        <v>461</v>
      </c>
    </row>
    <row r="1946">
      <c r="K1946" s="26" t="s">
        <v>461</v>
      </c>
      <c r="L1946" s="26" t="s">
        <v>461</v>
      </c>
    </row>
    <row r="1947">
      <c r="K1947" s="26" t="s">
        <v>461</v>
      </c>
      <c r="L1947" s="26" t="s">
        <v>461</v>
      </c>
    </row>
    <row r="1948">
      <c r="K1948" s="26" t="s">
        <v>461</v>
      </c>
      <c r="L1948" s="26" t="s">
        <v>461</v>
      </c>
    </row>
    <row r="1949">
      <c r="K1949" s="26" t="s">
        <v>461</v>
      </c>
      <c r="L1949" s="26" t="s">
        <v>461</v>
      </c>
    </row>
    <row r="1950">
      <c r="K1950" s="26" t="s">
        <v>461</v>
      </c>
      <c r="L1950" s="26" t="s">
        <v>461</v>
      </c>
    </row>
    <row r="1951">
      <c r="K1951" s="26" t="s">
        <v>461</v>
      </c>
      <c r="L1951" s="26" t="s">
        <v>461</v>
      </c>
    </row>
    <row r="1952">
      <c r="K1952" s="26" t="s">
        <v>461</v>
      </c>
      <c r="L1952" s="26" t="s">
        <v>461</v>
      </c>
    </row>
    <row r="1953">
      <c r="K1953" s="26" t="s">
        <v>461</v>
      </c>
      <c r="L1953" s="26" t="s">
        <v>461</v>
      </c>
    </row>
    <row r="1954">
      <c r="K1954" s="26" t="s">
        <v>461</v>
      </c>
      <c r="L1954" s="26" t="s">
        <v>461</v>
      </c>
    </row>
    <row r="1955">
      <c r="K1955" s="26" t="s">
        <v>461</v>
      </c>
      <c r="L1955" s="26" t="s">
        <v>461</v>
      </c>
    </row>
    <row r="1956">
      <c r="K1956" s="26" t="s">
        <v>461</v>
      </c>
      <c r="L1956" s="26" t="s">
        <v>461</v>
      </c>
    </row>
    <row r="1957">
      <c r="K1957" s="26" t="s">
        <v>461</v>
      </c>
      <c r="L1957" s="26" t="s">
        <v>461</v>
      </c>
    </row>
    <row r="1958">
      <c r="K1958" s="26" t="s">
        <v>461</v>
      </c>
      <c r="L1958" s="26" t="s">
        <v>461</v>
      </c>
    </row>
    <row r="1959">
      <c r="K1959" s="26" t="s">
        <v>461</v>
      </c>
      <c r="L1959" s="26" t="s">
        <v>461</v>
      </c>
    </row>
    <row r="1960">
      <c r="K1960" s="26" t="s">
        <v>461</v>
      </c>
      <c r="L1960" s="26" t="s">
        <v>461</v>
      </c>
    </row>
    <row r="1961">
      <c r="K1961" s="26" t="s">
        <v>461</v>
      </c>
      <c r="L1961" s="26" t="s">
        <v>461</v>
      </c>
    </row>
    <row r="1962">
      <c r="K1962" s="26" t="s">
        <v>461</v>
      </c>
      <c r="L1962" s="26" t="s">
        <v>461</v>
      </c>
    </row>
    <row r="1963">
      <c r="K1963" s="26" t="s">
        <v>461</v>
      </c>
      <c r="L1963" s="26" t="s">
        <v>461</v>
      </c>
    </row>
    <row r="1964">
      <c r="K1964" s="26" t="s">
        <v>461</v>
      </c>
      <c r="L1964" s="26" t="s">
        <v>461</v>
      </c>
    </row>
    <row r="1965">
      <c r="K1965" s="26" t="s">
        <v>461</v>
      </c>
      <c r="L1965" s="26" t="s">
        <v>461</v>
      </c>
    </row>
    <row r="1966">
      <c r="K1966" s="26" t="s">
        <v>461</v>
      </c>
      <c r="L1966" s="26" t="s">
        <v>461</v>
      </c>
    </row>
    <row r="1967">
      <c r="K1967" s="26" t="s">
        <v>461</v>
      </c>
      <c r="L1967" s="26" t="s">
        <v>461</v>
      </c>
    </row>
    <row r="1968">
      <c r="K1968" s="26" t="s">
        <v>461</v>
      </c>
      <c r="L1968" s="26" t="s">
        <v>461</v>
      </c>
    </row>
    <row r="1969">
      <c r="K1969" s="26" t="s">
        <v>461</v>
      </c>
      <c r="L1969" s="26" t="s">
        <v>461</v>
      </c>
    </row>
    <row r="1970">
      <c r="K1970" s="26" t="s">
        <v>461</v>
      </c>
      <c r="L1970" s="26" t="s">
        <v>461</v>
      </c>
    </row>
    <row r="1971">
      <c r="K1971" s="26" t="s">
        <v>461</v>
      </c>
      <c r="L1971" s="26" t="s">
        <v>461</v>
      </c>
    </row>
    <row r="1972">
      <c r="K1972" s="26" t="s">
        <v>461</v>
      </c>
      <c r="L1972" s="26" t="s">
        <v>461</v>
      </c>
    </row>
    <row r="1973">
      <c r="K1973" s="26" t="s">
        <v>461</v>
      </c>
      <c r="L1973" s="26" t="s">
        <v>461</v>
      </c>
    </row>
    <row r="1974">
      <c r="K1974" s="26" t="s">
        <v>461</v>
      </c>
      <c r="L1974" s="26" t="s">
        <v>461</v>
      </c>
    </row>
    <row r="1975">
      <c r="K1975" s="26" t="s">
        <v>461</v>
      </c>
      <c r="L1975" s="26" t="s">
        <v>461</v>
      </c>
    </row>
    <row r="1976">
      <c r="K1976" s="26" t="s">
        <v>461</v>
      </c>
      <c r="L1976" s="26" t="s">
        <v>461</v>
      </c>
    </row>
    <row r="1977">
      <c r="K1977" s="26" t="s">
        <v>461</v>
      </c>
      <c r="L1977" s="26" t="s">
        <v>461</v>
      </c>
    </row>
    <row r="1978">
      <c r="K1978" s="26" t="s">
        <v>461</v>
      </c>
      <c r="L1978" s="26" t="s">
        <v>461</v>
      </c>
    </row>
    <row r="1979">
      <c r="K1979" s="26" t="s">
        <v>461</v>
      </c>
      <c r="L1979" s="26" t="s">
        <v>461</v>
      </c>
    </row>
    <row r="1980">
      <c r="K1980" s="26" t="s">
        <v>461</v>
      </c>
      <c r="L1980" s="26" t="s">
        <v>461</v>
      </c>
    </row>
    <row r="1981">
      <c r="K1981" s="26" t="s">
        <v>461</v>
      </c>
      <c r="L1981" s="26" t="s">
        <v>461</v>
      </c>
    </row>
    <row r="1982">
      <c r="K1982" s="26" t="s">
        <v>461</v>
      </c>
      <c r="L1982" s="26" t="s">
        <v>461</v>
      </c>
    </row>
    <row r="1983">
      <c r="K1983" s="26" t="s">
        <v>461</v>
      </c>
      <c r="L1983" s="26" t="s">
        <v>461</v>
      </c>
    </row>
    <row r="1984">
      <c r="K1984" s="26" t="s">
        <v>461</v>
      </c>
      <c r="L1984" s="26" t="s">
        <v>461</v>
      </c>
    </row>
    <row r="1985">
      <c r="K1985" s="26" t="s">
        <v>461</v>
      </c>
      <c r="L1985" s="26" t="s">
        <v>461</v>
      </c>
    </row>
    <row r="1986">
      <c r="K1986" s="26" t="s">
        <v>461</v>
      </c>
      <c r="L1986" s="26" t="s">
        <v>461</v>
      </c>
    </row>
    <row r="1987">
      <c r="K1987" s="26" t="s">
        <v>461</v>
      </c>
      <c r="L1987" s="26" t="s">
        <v>461</v>
      </c>
    </row>
    <row r="1988">
      <c r="K1988" s="26" t="s">
        <v>461</v>
      </c>
      <c r="L1988" s="26" t="s">
        <v>461</v>
      </c>
    </row>
    <row r="1989">
      <c r="K1989" s="26" t="s">
        <v>461</v>
      </c>
      <c r="L1989" s="26" t="s">
        <v>461</v>
      </c>
    </row>
    <row r="1990">
      <c r="K1990" s="26" t="s">
        <v>461</v>
      </c>
      <c r="L1990" s="26" t="s">
        <v>461</v>
      </c>
    </row>
    <row r="1991">
      <c r="K1991" s="26" t="s">
        <v>461</v>
      </c>
      <c r="L1991" s="26" t="s">
        <v>461</v>
      </c>
    </row>
    <row r="1992">
      <c r="K1992" s="26" t="s">
        <v>461</v>
      </c>
      <c r="L1992" s="26" t="s">
        <v>461</v>
      </c>
    </row>
    <row r="1993">
      <c r="K1993" s="26" t="s">
        <v>461</v>
      </c>
      <c r="L1993" s="26" t="s">
        <v>461</v>
      </c>
    </row>
    <row r="1994">
      <c r="K1994" s="26" t="s">
        <v>461</v>
      </c>
      <c r="L1994" s="26" t="s">
        <v>461</v>
      </c>
    </row>
    <row r="1995">
      <c r="K1995" s="26" t="s">
        <v>461</v>
      </c>
      <c r="L1995" s="26" t="s">
        <v>461</v>
      </c>
    </row>
    <row r="1996">
      <c r="K1996" s="26" t="s">
        <v>461</v>
      </c>
      <c r="L1996" s="26" t="s">
        <v>461</v>
      </c>
    </row>
    <row r="1997">
      <c r="K1997" s="26" t="s">
        <v>461</v>
      </c>
      <c r="L1997" s="26" t="s">
        <v>461</v>
      </c>
    </row>
    <row r="1998">
      <c r="K1998" s="26" t="s">
        <v>461</v>
      </c>
      <c r="L1998" s="26" t="s">
        <v>461</v>
      </c>
    </row>
    <row r="1999">
      <c r="K1999" s="26" t="s">
        <v>461</v>
      </c>
      <c r="L1999" s="26" t="s">
        <v>461</v>
      </c>
    </row>
    <row r="2000">
      <c r="K2000" s="26" t="s">
        <v>461</v>
      </c>
      <c r="L2000" s="26" t="s">
        <v>461</v>
      </c>
    </row>
  </sheetData>
  <autoFilter ref="$D$1:$D$1000">
    <filterColumn colId="0">
      <filters>
        <filter val="15.67"/>
        <filter val="8.7"/>
        <filter val="17.05"/>
        <filter val="17.03"/>
        <filter val="16.36"/>
        <filter val="33.56"/>
        <filter val="55.83"/>
        <filter val="3.39"/>
        <filter val="60.4"/>
        <filter val="22.9"/>
        <filter val="66.97"/>
        <filter val="13"/>
        <filter val="17.12"/>
        <filter val="34.13"/>
        <filter val="57.36"/>
        <filter val="23.18"/>
        <filter val="56.62"/>
        <filter val="57.32"/>
        <filter val="52.21"/>
        <filter val="33.2"/>
        <filter val="28.23"/>
        <filter val="23.12"/>
        <filter val="23.13"/>
        <filter val="12.08"/>
        <filter val="10.9"/>
        <filter val="16.12"/>
        <filter val="68.59"/>
        <filter val="70.1"/>
        <filter val="70.16"/>
        <filter val="22.17"/>
        <filter val="22.19"/>
        <filter val="8.76"/>
        <filter val="25.87"/>
        <filter val="25.89"/>
        <filter val="33.36"/>
        <filter val="21.44"/>
        <filter val="68.51"/>
        <filter val="69.25"/>
        <filter val="69.24"/>
        <filter val="39.03"/>
        <filter val="5.13"/>
        <filter val="38.36"/>
        <filter val="21.59"/>
        <filter val="37"/>
        <filter val="78.92"/>
        <filter val="20.88"/>
        <filter val="19.98"/>
        <filter val="37.61"/>
        <filter val="15.51"/>
        <filter val="42.96"/>
        <filter val="17.2"/>
        <filter val="63.66"/>
        <filter val="65.04"/>
        <filter val="15.26"/>
        <filter val="37.59"/>
        <filter val="59.08"/>
        <filter val="42.84"/>
        <filter val="88.04"/>
        <filter val="21.39"/>
        <filter val="44.19"/>
        <filter val="91.84"/>
        <filter val="98.38"/>
        <filter val="9.72"/>
        <filter val="57.79"/>
        <filter val="36.77"/>
        <filter val="19.81"/>
        <filter val="54.9"/>
        <filter val="32.39"/>
        <filter val="76.19"/>
        <filter val="16.8"/>
        <filter val="49.25"/>
        <filter val="65.24"/>
        <filter val="21.06"/>
        <filter val="19.49"/>
        <filter val="31.52"/>
        <filter val="31.54"/>
        <filter val="31.53"/>
        <filter val="54.11"/>
        <filter val="57.85"/>
        <filter val="70.52"/>
        <filter val="65.9"/>
        <filter val="32.26"/>
        <filter val="25.47"/>
        <filter val="42.1"/>
        <filter val="88.1"/>
        <filter val="63.81"/>
        <filter val="29.86"/>
        <filter val="13.73"/>
        <filter val="35.81"/>
        <filter val="49.07"/>
        <filter val="30.72"/>
        <filter val="9.94"/>
        <filter val="57.95"/>
        <filter val="35.85"/>
        <filter val="36.52"/>
        <filter val="32.19"/>
        <filter val="53.9"/>
        <filter val="52.87"/>
        <filter val="31.44"/>
        <filter val="30.76"/>
        <filter val="32.12"/>
        <filter val="15.6"/>
        <filter val="48.33"/>
        <filter val="53.6"/>
        <filter val="13.43"/>
        <filter val="37.12"/>
        <filter val="19.25"/>
        <filter val="13.46"/>
        <filter val="37.14"/>
        <filter val="24.59"/>
        <filter val="35.75"/>
        <filter val="36.41"/>
        <filter val="17.83"/>
        <filter val="93.72"/>
        <filter val="49.5"/>
        <filter val="78.07"/>
        <filter val="31.35"/>
        <filter val="46.87"/>
        <filter val="41.73"/>
        <filter val="64.75"/>
        <filter val="20.29"/>
        <filter val="58.81"/>
        <filter val="13.58"/>
        <filter val="30.59"/>
        <filter val="37.5"/>
        <filter val="61.16"/>
        <filter val="61.12"/>
        <filter val="65.53"/>
        <filter val="29.74"/>
        <filter val="96.08"/>
        <filter val="42.23"/>
        <filter val="23.69"/>
        <filter val="95.35"/>
        <filter val="35.54"/>
        <filter val="59.65"/>
        <filter val="25.09"/>
        <filter val="53.87"/>
        <filter val="23.63"/>
        <filter val="30.44"/>
        <filter val="30.43"/>
        <filter val="48.9"/>
        <filter val="20.06"/>
        <filter val="67.14"/>
        <filter val="7.36"/>
        <filter val="12.65"/>
        <filter val="17.79"/>
        <filter val="12.67"/>
        <filter val="19.15"/>
        <filter val="36.15"/>
        <filter val="36.12"/>
        <filter val="34.73"/>
        <filter val="39.87"/>
        <filter val="28.86"/>
        <filter val="61.31"/>
        <filter val="45.85"/>
        <filter val="59.82"/>
        <filter val="17.49"/>
        <filter val="73.24"/>
        <filter val="36.07"/>
        <filter val="34.69"/>
        <filter val="65.86"/>
        <filter val="67.24"/>
        <filter val="85.12"/>
        <filter val="67.22"/>
        <filter val="8.27"/>
        <filter val="11.78"/>
        <filter val="6.85"/>
        <filter val="35.28"/>
        <filter val="51.19"/>
        <filter val="35.5"/>
        <filter val="38.87"/>
        <filter val="11.41"/>
        <filter val="40.48"/>
        <filter val="41.14"/>
        <filter val="23.28"/>
        <filter val="15.85"/>
        <filter val="72.77"/>
        <filter val="51.22"/>
        <filter val="35.19"/>
        <filter val="27.61"/>
        <filter val="45.52"/>
        <filter val="61.9"/>
        <filter val="46.19"/>
        <filter val="33.64"/>
        <filter val="39.43"/>
        <filter val="55.79"/>
        <filter val="68.24"/>
      </filters>
    </filterColumn>
  </autoFilter>
  <conditionalFormatting sqref="B2:B217">
    <cfRule type="colorScale" priority="1">
      <colorScale>
        <cfvo type="min"/>
        <cfvo type="max"/>
        <color rgb="FFE0FFCC"/>
        <color rgb="FF57FF53"/>
      </colorScale>
    </cfRule>
  </conditionalFormatting>
  <conditionalFormatting sqref="J1:J217">
    <cfRule type="cellIs" dxfId="0" priority="2" operator="lessThan">
      <formula>0</formula>
    </cfRule>
  </conditionalFormatting>
  <conditionalFormatting sqref="J1:J217">
    <cfRule type="cellIs" dxfId="1" priority="3" operator="greaterThan">
      <formula>0</formula>
    </cfRule>
  </conditionalFormatting>
  <conditionalFormatting sqref="C2:C217">
    <cfRule type="notContainsBlanks" dxfId="2" priority="4">
      <formula>LEN(TRIM(C2))&gt;0</formula>
    </cfRule>
  </conditionalFormatting>
  <conditionalFormatting sqref="E2:E217">
    <cfRule type="notContainsBlanks" dxfId="3" priority="5">
      <formula>LEN(TRIM(E2))&gt;0</formula>
    </cfRule>
  </conditionalFormatting>
  <conditionalFormatting sqref="G2:G217">
    <cfRule type="notContainsBlanks" dxfId="4" priority="6">
      <formula>LEN(TRIM(G2))&gt;0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4.38"/>
    <col customWidth="1" min="2" max="2" width="21.63"/>
    <col customWidth="1" min="3" max="3" width="27.88"/>
  </cols>
  <sheetData>
    <row r="1" ht="54.75" customHeight="1">
      <c r="A1" s="54" t="s">
        <v>44</v>
      </c>
      <c r="B1" s="16" t="s">
        <v>298</v>
      </c>
      <c r="C1" s="16" t="s">
        <v>494</v>
      </c>
    </row>
    <row r="2" ht="42.75" customHeight="1">
      <c r="A2" s="16" t="s">
        <v>139</v>
      </c>
      <c r="B2" s="16" t="s">
        <v>233</v>
      </c>
      <c r="C2" s="16" t="s">
        <v>495</v>
      </c>
    </row>
    <row r="3" ht="42.75" customHeight="1">
      <c r="A3" s="55" t="s">
        <v>197</v>
      </c>
      <c r="B3" s="55" t="s">
        <v>237</v>
      </c>
      <c r="C3" s="55" t="s">
        <v>496</v>
      </c>
    </row>
    <row r="4">
      <c r="A4" s="35" t="s">
        <v>157</v>
      </c>
      <c r="B4" s="35" t="s">
        <v>233</v>
      </c>
      <c r="C4" s="35" t="s">
        <v>449</v>
      </c>
    </row>
    <row r="5">
      <c r="A5" s="56" t="s">
        <v>90</v>
      </c>
      <c r="B5" s="56" t="s">
        <v>282</v>
      </c>
      <c r="C5" s="56" t="s">
        <v>368</v>
      </c>
    </row>
    <row r="6">
      <c r="A6" s="35" t="s">
        <v>194</v>
      </c>
      <c r="B6" s="35" t="s">
        <v>282</v>
      </c>
      <c r="C6" s="35" t="s">
        <v>337</v>
      </c>
    </row>
    <row r="7">
      <c r="A7" s="56" t="s">
        <v>89</v>
      </c>
      <c r="B7" s="56" t="s">
        <v>265</v>
      </c>
      <c r="C7" s="56" t="s">
        <v>360</v>
      </c>
    </row>
    <row r="8">
      <c r="A8" s="35" t="s">
        <v>207</v>
      </c>
      <c r="B8" s="35" t="s">
        <v>280</v>
      </c>
      <c r="C8" s="35" t="s">
        <v>281</v>
      </c>
    </row>
    <row r="9">
      <c r="A9" s="56" t="s">
        <v>201</v>
      </c>
      <c r="B9" s="56" t="s">
        <v>257</v>
      </c>
      <c r="C9" s="56" t="s">
        <v>431</v>
      </c>
    </row>
    <row r="10">
      <c r="A10" s="35" t="s">
        <v>122</v>
      </c>
      <c r="B10" s="35" t="s">
        <v>302</v>
      </c>
      <c r="C10" s="35" t="s">
        <v>394</v>
      </c>
    </row>
    <row r="11">
      <c r="A11" s="56" t="s">
        <v>47</v>
      </c>
      <c r="B11" s="56" t="s">
        <v>292</v>
      </c>
      <c r="C11" s="56" t="s">
        <v>293</v>
      </c>
    </row>
    <row r="12">
      <c r="A12" s="35" t="s">
        <v>191</v>
      </c>
      <c r="B12" s="35" t="s">
        <v>288</v>
      </c>
      <c r="C12" s="35" t="s">
        <v>289</v>
      </c>
    </row>
    <row r="13">
      <c r="A13" s="56" t="s">
        <v>57</v>
      </c>
      <c r="B13" s="56" t="s">
        <v>288</v>
      </c>
      <c r="C13" s="56" t="s">
        <v>308</v>
      </c>
    </row>
    <row r="14">
      <c r="A14" s="35" t="s">
        <v>21</v>
      </c>
      <c r="B14" s="35" t="s">
        <v>259</v>
      </c>
      <c r="C14" s="35" t="s">
        <v>260</v>
      </c>
    </row>
    <row r="15">
      <c r="A15" s="56" t="s">
        <v>60</v>
      </c>
      <c r="B15" s="56" t="s">
        <v>252</v>
      </c>
      <c r="C15" s="56" t="s">
        <v>300</v>
      </c>
    </row>
    <row r="16">
      <c r="A16" s="35" t="s">
        <v>112</v>
      </c>
      <c r="B16" s="35" t="s">
        <v>282</v>
      </c>
      <c r="C16" s="35" t="s">
        <v>390</v>
      </c>
    </row>
    <row r="17">
      <c r="A17" s="56" t="s">
        <v>95</v>
      </c>
      <c r="B17" s="56" t="s">
        <v>304</v>
      </c>
      <c r="C17" s="56" t="s">
        <v>374</v>
      </c>
    </row>
    <row r="18">
      <c r="A18" s="35" t="s">
        <v>61</v>
      </c>
      <c r="B18" s="35" t="s">
        <v>257</v>
      </c>
      <c r="C18" s="35" t="s">
        <v>475</v>
      </c>
    </row>
    <row r="19">
      <c r="A19" s="56" t="s">
        <v>189</v>
      </c>
      <c r="B19" s="56" t="s">
        <v>257</v>
      </c>
      <c r="C19" s="56" t="s">
        <v>258</v>
      </c>
    </row>
    <row r="20">
      <c r="A20" s="35" t="s">
        <v>153</v>
      </c>
      <c r="B20" s="35" t="s">
        <v>369</v>
      </c>
      <c r="C20" s="35" t="s">
        <v>447</v>
      </c>
    </row>
    <row r="21">
      <c r="A21" s="56" t="s">
        <v>28</v>
      </c>
      <c r="B21" s="56" t="s">
        <v>233</v>
      </c>
      <c r="C21" s="56" t="s">
        <v>271</v>
      </c>
    </row>
    <row r="22">
      <c r="A22" s="35" t="s">
        <v>9</v>
      </c>
      <c r="B22" s="35" t="s">
        <v>233</v>
      </c>
      <c r="C22" s="35" t="s">
        <v>234</v>
      </c>
    </row>
    <row r="23">
      <c r="A23" s="56" t="s">
        <v>138</v>
      </c>
      <c r="B23" s="56" t="s">
        <v>415</v>
      </c>
      <c r="C23" s="56" t="s">
        <v>416</v>
      </c>
    </row>
    <row r="24">
      <c r="A24" s="35" t="s">
        <v>26</v>
      </c>
      <c r="B24" s="35" t="s">
        <v>247</v>
      </c>
      <c r="C24" s="35" t="s">
        <v>262</v>
      </c>
    </row>
    <row r="25">
      <c r="A25" s="56" t="s">
        <v>39</v>
      </c>
      <c r="B25" s="56" t="s">
        <v>247</v>
      </c>
      <c r="C25" s="56" t="s">
        <v>286</v>
      </c>
    </row>
    <row r="26">
      <c r="A26" s="35" t="s">
        <v>166</v>
      </c>
      <c r="B26" s="35" t="s">
        <v>252</v>
      </c>
      <c r="C26" s="35" t="s">
        <v>485</v>
      </c>
    </row>
    <row r="27">
      <c r="A27" s="56" t="s">
        <v>46</v>
      </c>
      <c r="B27" s="56" t="s">
        <v>317</v>
      </c>
      <c r="C27" s="56" t="s">
        <v>318</v>
      </c>
    </row>
    <row r="28">
      <c r="A28" s="35" t="s">
        <v>38</v>
      </c>
      <c r="B28" s="35" t="s">
        <v>235</v>
      </c>
      <c r="C28" s="35" t="s">
        <v>284</v>
      </c>
    </row>
    <row r="29">
      <c r="A29" s="56" t="s">
        <v>88</v>
      </c>
      <c r="B29" s="56" t="s">
        <v>265</v>
      </c>
      <c r="C29" s="56" t="s">
        <v>344</v>
      </c>
    </row>
    <row r="30">
      <c r="A30" s="35" t="s">
        <v>161</v>
      </c>
      <c r="B30" s="35" t="s">
        <v>280</v>
      </c>
      <c r="C30" s="35" t="s">
        <v>484</v>
      </c>
    </row>
    <row r="31">
      <c r="A31" s="56" t="s">
        <v>104</v>
      </c>
      <c r="B31" s="56" t="s">
        <v>298</v>
      </c>
      <c r="C31" s="56" t="s">
        <v>396</v>
      </c>
    </row>
    <row r="32">
      <c r="A32" s="35" t="s">
        <v>84</v>
      </c>
      <c r="B32" s="35" t="s">
        <v>327</v>
      </c>
      <c r="C32" s="35" t="s">
        <v>328</v>
      </c>
    </row>
    <row r="33">
      <c r="A33" s="56" t="s">
        <v>204</v>
      </c>
      <c r="B33" s="56" t="s">
        <v>254</v>
      </c>
      <c r="C33" s="56" t="s">
        <v>255</v>
      </c>
    </row>
    <row r="34">
      <c r="A34" s="35" t="s">
        <v>86</v>
      </c>
      <c r="B34" s="35" t="s">
        <v>292</v>
      </c>
      <c r="C34" s="35" t="s">
        <v>345</v>
      </c>
    </row>
    <row r="35">
      <c r="A35" s="56" t="s">
        <v>223</v>
      </c>
      <c r="B35" s="56" t="s">
        <v>298</v>
      </c>
      <c r="C35" s="56" t="s">
        <v>493</v>
      </c>
    </row>
    <row r="36">
      <c r="A36" s="35" t="s">
        <v>216</v>
      </c>
      <c r="B36" s="35" t="s">
        <v>456</v>
      </c>
      <c r="C36" s="35" t="s">
        <v>457</v>
      </c>
    </row>
    <row r="37">
      <c r="A37" s="57" t="s">
        <v>497</v>
      </c>
      <c r="B37" s="58"/>
      <c r="C37" s="59"/>
    </row>
    <row r="38">
      <c r="A38" s="60" t="s">
        <v>462</v>
      </c>
      <c r="B38" s="60" t="s">
        <v>227</v>
      </c>
      <c r="C38" s="60" t="s">
        <v>498</v>
      </c>
    </row>
    <row r="39">
      <c r="A39" s="56" t="s">
        <v>143</v>
      </c>
      <c r="B39" s="56" t="s">
        <v>242</v>
      </c>
      <c r="C39" s="56" t="s">
        <v>482</v>
      </c>
    </row>
    <row r="40">
      <c r="A40" s="35" t="s">
        <v>132</v>
      </c>
      <c r="B40" s="35" t="s">
        <v>317</v>
      </c>
      <c r="C40" s="35" t="s">
        <v>405</v>
      </c>
    </row>
    <row r="41">
      <c r="A41" s="56" t="s">
        <v>62</v>
      </c>
      <c r="B41" s="56" t="s">
        <v>342</v>
      </c>
      <c r="C41" s="56" t="s">
        <v>343</v>
      </c>
    </row>
    <row r="42">
      <c r="A42" s="35" t="s">
        <v>165</v>
      </c>
      <c r="B42" s="35" t="s">
        <v>440</v>
      </c>
      <c r="C42" s="35" t="s">
        <v>441</v>
      </c>
    </row>
    <row r="43">
      <c r="A43" s="56" t="s">
        <v>218</v>
      </c>
      <c r="B43" s="56" t="s">
        <v>254</v>
      </c>
      <c r="C43" s="56" t="s">
        <v>492</v>
      </c>
    </row>
    <row r="44">
      <c r="A44" s="35" t="s">
        <v>214</v>
      </c>
      <c r="B44" s="35" t="s">
        <v>315</v>
      </c>
      <c r="C44" s="35" t="s">
        <v>316</v>
      </c>
    </row>
    <row r="45">
      <c r="A45" s="56" t="s">
        <v>181</v>
      </c>
      <c r="B45" s="56" t="s">
        <v>259</v>
      </c>
      <c r="C45" s="56" t="s">
        <v>276</v>
      </c>
    </row>
    <row r="46">
      <c r="A46" s="35" t="s">
        <v>106</v>
      </c>
      <c r="B46" s="35" t="s">
        <v>384</v>
      </c>
      <c r="C46" s="35" t="s">
        <v>385</v>
      </c>
    </row>
    <row r="47">
      <c r="A47" s="56" t="s">
        <v>159</v>
      </c>
      <c r="B47" s="56" t="s">
        <v>254</v>
      </c>
      <c r="C47" s="56" t="s">
        <v>483</v>
      </c>
    </row>
    <row r="48">
      <c r="A48" s="35" t="s">
        <v>25</v>
      </c>
      <c r="B48" s="35" t="s">
        <v>240</v>
      </c>
      <c r="C48" s="35" t="s">
        <v>263</v>
      </c>
    </row>
    <row r="49">
      <c r="A49" s="56" t="s">
        <v>34</v>
      </c>
      <c r="B49" s="56" t="s">
        <v>239</v>
      </c>
      <c r="C49" s="56" t="s">
        <v>279</v>
      </c>
    </row>
    <row r="50">
      <c r="A50" s="35" t="s">
        <v>179</v>
      </c>
      <c r="B50" s="35" t="s">
        <v>237</v>
      </c>
      <c r="C50" s="35" t="s">
        <v>238</v>
      </c>
    </row>
    <row r="51">
      <c r="A51" s="56" t="s">
        <v>124</v>
      </c>
      <c r="B51" s="56" t="s">
        <v>298</v>
      </c>
      <c r="C51" s="56" t="s">
        <v>411</v>
      </c>
    </row>
    <row r="52">
      <c r="A52" s="35" t="s">
        <v>192</v>
      </c>
      <c r="B52" s="35" t="s">
        <v>265</v>
      </c>
      <c r="C52" s="35" t="s">
        <v>437</v>
      </c>
    </row>
    <row r="53">
      <c r="A53" s="56" t="s">
        <v>183</v>
      </c>
      <c r="B53" s="56" t="s">
        <v>499</v>
      </c>
      <c r="C53" s="56" t="s">
        <v>500</v>
      </c>
    </row>
    <row r="54">
      <c r="A54" s="35" t="s">
        <v>76</v>
      </c>
      <c r="B54" s="35" t="s">
        <v>361</v>
      </c>
      <c r="C54" s="35" t="s">
        <v>477</v>
      </c>
    </row>
    <row r="55">
      <c r="A55" s="56" t="s">
        <v>114</v>
      </c>
      <c r="B55" s="56" t="s">
        <v>288</v>
      </c>
      <c r="C55" s="56" t="s">
        <v>479</v>
      </c>
    </row>
    <row r="56">
      <c r="A56" s="35" t="s">
        <v>208</v>
      </c>
      <c r="B56" s="35" t="s">
        <v>312</v>
      </c>
      <c r="C56" s="35" t="s">
        <v>419</v>
      </c>
    </row>
    <row r="57">
      <c r="A57" s="56" t="s">
        <v>135</v>
      </c>
      <c r="B57" s="56" t="s">
        <v>355</v>
      </c>
      <c r="C57" s="56" t="s">
        <v>420</v>
      </c>
    </row>
    <row r="58">
      <c r="A58" s="35" t="s">
        <v>131</v>
      </c>
      <c r="B58" s="35" t="s">
        <v>432</v>
      </c>
      <c r="C58" s="35" t="s">
        <v>433</v>
      </c>
    </row>
    <row r="59">
      <c r="A59" s="56" t="s">
        <v>64</v>
      </c>
      <c r="B59" s="56" t="s">
        <v>282</v>
      </c>
      <c r="C59" s="56" t="s">
        <v>314</v>
      </c>
    </row>
    <row r="60">
      <c r="A60" s="35" t="s">
        <v>130</v>
      </c>
      <c r="B60" s="35" t="s">
        <v>369</v>
      </c>
      <c r="C60" s="35" t="s">
        <v>400</v>
      </c>
    </row>
    <row r="61">
      <c r="A61" s="56" t="s">
        <v>24</v>
      </c>
      <c r="B61" s="56" t="s">
        <v>265</v>
      </c>
      <c r="C61" s="56" t="s">
        <v>266</v>
      </c>
    </row>
    <row r="62">
      <c r="A62" s="35" t="s">
        <v>59</v>
      </c>
      <c r="B62" s="35" t="s">
        <v>292</v>
      </c>
      <c r="C62" s="35" t="s">
        <v>297</v>
      </c>
    </row>
    <row r="63">
      <c r="A63" s="56" t="s">
        <v>94</v>
      </c>
      <c r="B63" s="56" t="s">
        <v>254</v>
      </c>
      <c r="C63" s="56" t="s">
        <v>365</v>
      </c>
    </row>
    <row r="64">
      <c r="A64" s="35" t="s">
        <v>77</v>
      </c>
      <c r="B64" s="35" t="s">
        <v>233</v>
      </c>
      <c r="C64" s="35" t="s">
        <v>333</v>
      </c>
    </row>
    <row r="65">
      <c r="A65" s="56" t="s">
        <v>72</v>
      </c>
      <c r="B65" s="56" t="s">
        <v>298</v>
      </c>
      <c r="C65" s="56" t="s">
        <v>476</v>
      </c>
    </row>
    <row r="66">
      <c r="A66" s="35" t="s">
        <v>53</v>
      </c>
      <c r="B66" s="35" t="s">
        <v>298</v>
      </c>
      <c r="C66" s="35" t="s">
        <v>473</v>
      </c>
    </row>
    <row r="67">
      <c r="A67" s="56" t="s">
        <v>163</v>
      </c>
      <c r="B67" s="56" t="s">
        <v>315</v>
      </c>
      <c r="C67" s="56" t="s">
        <v>451</v>
      </c>
    </row>
    <row r="68">
      <c r="A68" s="35" t="s">
        <v>50</v>
      </c>
      <c r="B68" s="35" t="s">
        <v>304</v>
      </c>
      <c r="C68" s="35" t="s">
        <v>305</v>
      </c>
    </row>
    <row r="69">
      <c r="A69" s="56" t="s">
        <v>51</v>
      </c>
      <c r="B69" s="56" t="s">
        <v>254</v>
      </c>
      <c r="C69" s="56" t="s">
        <v>472</v>
      </c>
    </row>
    <row r="70">
      <c r="A70" s="35" t="s">
        <v>144</v>
      </c>
      <c r="B70" s="35" t="s">
        <v>282</v>
      </c>
      <c r="C70" s="35" t="s">
        <v>426</v>
      </c>
    </row>
    <row r="71">
      <c r="A71" s="56" t="s">
        <v>37</v>
      </c>
      <c r="B71" s="56" t="s">
        <v>298</v>
      </c>
      <c r="C71" s="56" t="s">
        <v>471</v>
      </c>
    </row>
    <row r="72">
      <c r="A72" s="35" t="s">
        <v>171</v>
      </c>
      <c r="B72" s="35" t="s">
        <v>254</v>
      </c>
      <c r="C72" s="35" t="s">
        <v>487</v>
      </c>
    </row>
    <row r="73">
      <c r="A73" s="56" t="s">
        <v>175</v>
      </c>
      <c r="B73" s="56" t="s">
        <v>302</v>
      </c>
      <c r="C73" s="56" t="s">
        <v>375</v>
      </c>
    </row>
    <row r="74">
      <c r="A74" s="35" t="s">
        <v>158</v>
      </c>
      <c r="B74" s="35" t="s">
        <v>233</v>
      </c>
      <c r="C74" s="35" t="s">
        <v>448</v>
      </c>
    </row>
    <row r="75">
      <c r="A75" s="56" t="s">
        <v>20</v>
      </c>
      <c r="B75" s="56" t="s">
        <v>235</v>
      </c>
      <c r="C75" s="56" t="s">
        <v>261</v>
      </c>
    </row>
    <row r="76">
      <c r="A76" s="35" t="s">
        <v>154</v>
      </c>
      <c r="B76" s="35" t="s">
        <v>265</v>
      </c>
      <c r="C76" s="35" t="s">
        <v>445</v>
      </c>
    </row>
    <row r="77">
      <c r="A77" s="56" t="s">
        <v>96</v>
      </c>
      <c r="B77" s="56" t="s">
        <v>265</v>
      </c>
      <c r="C77" s="56" t="s">
        <v>363</v>
      </c>
    </row>
    <row r="78">
      <c r="A78" s="35" t="s">
        <v>56</v>
      </c>
      <c r="B78" s="35" t="s">
        <v>244</v>
      </c>
      <c r="C78" s="35" t="s">
        <v>309</v>
      </c>
    </row>
    <row r="79">
      <c r="A79" s="56" t="s">
        <v>200</v>
      </c>
      <c r="B79" s="56" t="s">
        <v>315</v>
      </c>
      <c r="C79" s="56" t="s">
        <v>429</v>
      </c>
    </row>
    <row r="80">
      <c r="A80" s="35" t="s">
        <v>67</v>
      </c>
      <c r="B80" s="35" t="s">
        <v>306</v>
      </c>
      <c r="C80" s="35" t="s">
        <v>321</v>
      </c>
    </row>
    <row r="81">
      <c r="A81" s="56" t="s">
        <v>52</v>
      </c>
      <c r="B81" s="56" t="s">
        <v>233</v>
      </c>
      <c r="C81" s="56" t="s">
        <v>319</v>
      </c>
    </row>
    <row r="82">
      <c r="A82" s="35" t="s">
        <v>42</v>
      </c>
      <c r="B82" s="35" t="s">
        <v>294</v>
      </c>
      <c r="C82" s="35" t="s">
        <v>295</v>
      </c>
    </row>
    <row r="83">
      <c r="A83" s="56" t="s">
        <v>160</v>
      </c>
      <c r="B83" s="56"/>
      <c r="C83" s="56" t="s">
        <v>443</v>
      </c>
    </row>
    <row r="84">
      <c r="A84" s="35" t="s">
        <v>221</v>
      </c>
      <c r="B84" s="35" t="s">
        <v>369</v>
      </c>
      <c r="C84" s="35" t="s">
        <v>413</v>
      </c>
    </row>
    <row r="85">
      <c r="A85" s="56" t="s">
        <v>119</v>
      </c>
      <c r="B85" s="56" t="s">
        <v>257</v>
      </c>
      <c r="C85" s="56" t="s">
        <v>481</v>
      </c>
    </row>
    <row r="86">
      <c r="A86" s="35" t="s">
        <v>70</v>
      </c>
      <c r="B86" s="35" t="s">
        <v>239</v>
      </c>
      <c r="C86" s="35" t="s">
        <v>336</v>
      </c>
    </row>
    <row r="87">
      <c r="A87" s="56" t="s">
        <v>140</v>
      </c>
      <c r="B87" s="56" t="s">
        <v>233</v>
      </c>
      <c r="C87" s="56" t="s">
        <v>430</v>
      </c>
    </row>
    <row r="88">
      <c r="A88" s="35" t="s">
        <v>16</v>
      </c>
      <c r="B88" s="35" t="s">
        <v>252</v>
      </c>
      <c r="C88" s="35" t="s">
        <v>253</v>
      </c>
    </row>
    <row r="89">
      <c r="A89" s="56" t="s">
        <v>40</v>
      </c>
      <c r="B89" s="56" t="s">
        <v>235</v>
      </c>
      <c r="C89" s="56" t="s">
        <v>287</v>
      </c>
    </row>
    <row r="90">
      <c r="A90" s="35" t="s">
        <v>203</v>
      </c>
      <c r="B90" s="35" t="s">
        <v>298</v>
      </c>
      <c r="C90" s="35" t="s">
        <v>424</v>
      </c>
    </row>
    <row r="91">
      <c r="A91" s="56" t="s">
        <v>128</v>
      </c>
      <c r="B91" s="56" t="s">
        <v>244</v>
      </c>
      <c r="C91" s="56" t="s">
        <v>393</v>
      </c>
    </row>
    <row r="92">
      <c r="A92" s="35" t="s">
        <v>127</v>
      </c>
      <c r="B92" s="35" t="s">
        <v>329</v>
      </c>
      <c r="C92" s="35" t="s">
        <v>402</v>
      </c>
    </row>
    <row r="93">
      <c r="A93" s="56" t="s">
        <v>22</v>
      </c>
      <c r="B93" s="56" t="s">
        <v>252</v>
      </c>
      <c r="C93" s="56" t="s">
        <v>22</v>
      </c>
    </row>
    <row r="94">
      <c r="A94" s="35" t="s">
        <v>225</v>
      </c>
      <c r="B94" s="35" t="s">
        <v>304</v>
      </c>
      <c r="C94" s="35" t="s">
        <v>434</v>
      </c>
    </row>
    <row r="95">
      <c r="A95" s="56" t="s">
        <v>97</v>
      </c>
      <c r="B95" s="56" t="s">
        <v>244</v>
      </c>
      <c r="C95" s="56" t="s">
        <v>353</v>
      </c>
    </row>
    <row r="96">
      <c r="A96" s="35" t="s">
        <v>226</v>
      </c>
      <c r="B96" s="35" t="s">
        <v>240</v>
      </c>
      <c r="C96" s="35" t="s">
        <v>241</v>
      </c>
    </row>
    <row r="97">
      <c r="A97" s="56" t="s">
        <v>125</v>
      </c>
      <c r="B97" s="56" t="s">
        <v>265</v>
      </c>
      <c r="C97" s="56" t="s">
        <v>407</v>
      </c>
    </row>
    <row r="98">
      <c r="A98" s="35" t="s">
        <v>74</v>
      </c>
      <c r="B98" s="35" t="s">
        <v>254</v>
      </c>
      <c r="C98" s="35" t="s">
        <v>366</v>
      </c>
    </row>
    <row r="99">
      <c r="A99" s="56" t="s">
        <v>134</v>
      </c>
      <c r="B99" s="56" t="s">
        <v>233</v>
      </c>
      <c r="C99" s="56" t="s">
        <v>409</v>
      </c>
    </row>
    <row r="100">
      <c r="A100" s="35" t="s">
        <v>196</v>
      </c>
      <c r="B100" s="35" t="s">
        <v>298</v>
      </c>
      <c r="C100" s="35" t="s">
        <v>322</v>
      </c>
    </row>
    <row r="101">
      <c r="A101" s="56" t="s">
        <v>35</v>
      </c>
      <c r="B101" s="56" t="s">
        <v>233</v>
      </c>
      <c r="C101" s="56" t="s">
        <v>267</v>
      </c>
    </row>
    <row r="102">
      <c r="A102" s="35" t="s">
        <v>18</v>
      </c>
      <c r="B102" s="35" t="s">
        <v>247</v>
      </c>
      <c r="C102" s="35" t="s">
        <v>248</v>
      </c>
    </row>
    <row r="103">
      <c r="A103" s="56" t="s">
        <v>220</v>
      </c>
      <c r="B103" s="56"/>
      <c r="C103" s="56" t="s">
        <v>458</v>
      </c>
    </row>
    <row r="104">
      <c r="A104" s="35" t="s">
        <v>105</v>
      </c>
      <c r="B104" s="35" t="s">
        <v>233</v>
      </c>
      <c r="C104" s="35" t="s">
        <v>367</v>
      </c>
    </row>
    <row r="105">
      <c r="A105" s="56" t="s">
        <v>215</v>
      </c>
      <c r="B105" s="56" t="s">
        <v>237</v>
      </c>
      <c r="C105" s="56" t="s">
        <v>246</v>
      </c>
    </row>
    <row r="106">
      <c r="A106" s="35" t="s">
        <v>115</v>
      </c>
      <c r="B106" s="35" t="s">
        <v>282</v>
      </c>
      <c r="C106" s="35" t="s">
        <v>381</v>
      </c>
    </row>
    <row r="107">
      <c r="A107" s="56" t="s">
        <v>193</v>
      </c>
      <c r="B107" s="56" t="s">
        <v>250</v>
      </c>
      <c r="C107" s="56" t="s">
        <v>350</v>
      </c>
    </row>
    <row r="108">
      <c r="A108" s="35" t="s">
        <v>219</v>
      </c>
      <c r="B108" s="35" t="s">
        <v>371</v>
      </c>
      <c r="C108" s="35" t="s">
        <v>372</v>
      </c>
    </row>
    <row r="109">
      <c r="A109" s="56" t="s">
        <v>209</v>
      </c>
      <c r="B109" s="56" t="s">
        <v>280</v>
      </c>
      <c r="C109" s="56" t="s">
        <v>324</v>
      </c>
    </row>
    <row r="110">
      <c r="A110" s="35" t="s">
        <v>187</v>
      </c>
      <c r="B110" s="35" t="s">
        <v>259</v>
      </c>
      <c r="C110" s="35" t="s">
        <v>349</v>
      </c>
    </row>
    <row r="111">
      <c r="A111" s="56" t="s">
        <v>48</v>
      </c>
      <c r="B111" s="56" t="s">
        <v>296</v>
      </c>
      <c r="C111" s="56" t="s">
        <v>48</v>
      </c>
    </row>
    <row r="112">
      <c r="A112" s="35" t="s">
        <v>79</v>
      </c>
      <c r="B112" s="35" t="s">
        <v>254</v>
      </c>
      <c r="C112" s="35" t="s">
        <v>354</v>
      </c>
    </row>
    <row r="113">
      <c r="A113" s="56" t="s">
        <v>182</v>
      </c>
      <c r="B113" s="56" t="s">
        <v>233</v>
      </c>
      <c r="C113" s="56" t="s">
        <v>408</v>
      </c>
    </row>
    <row r="114">
      <c r="A114" s="35" t="s">
        <v>45</v>
      </c>
      <c r="B114" s="35" t="s">
        <v>298</v>
      </c>
      <c r="C114" s="35" t="s">
        <v>299</v>
      </c>
    </row>
    <row r="115">
      <c r="A115" s="56" t="s">
        <v>73</v>
      </c>
      <c r="B115" s="56" t="s">
        <v>329</v>
      </c>
      <c r="C115" s="56" t="s">
        <v>335</v>
      </c>
    </row>
    <row r="116">
      <c r="A116" s="35" t="s">
        <v>107</v>
      </c>
      <c r="B116" s="35" t="s">
        <v>298</v>
      </c>
      <c r="C116" s="35" t="s">
        <v>379</v>
      </c>
    </row>
    <row r="117">
      <c r="A117" s="56" t="s">
        <v>99</v>
      </c>
      <c r="B117" s="56" t="s">
        <v>298</v>
      </c>
      <c r="C117" s="56" t="s">
        <v>382</v>
      </c>
    </row>
    <row r="118">
      <c r="A118" s="35" t="s">
        <v>91</v>
      </c>
      <c r="B118" s="35" t="s">
        <v>237</v>
      </c>
      <c r="C118" s="35" t="s">
        <v>478</v>
      </c>
    </row>
    <row r="119">
      <c r="A119" s="56" t="s">
        <v>188</v>
      </c>
      <c r="B119" s="56" t="s">
        <v>240</v>
      </c>
      <c r="C119" s="56" t="s">
        <v>285</v>
      </c>
    </row>
    <row r="120">
      <c r="A120" s="35" t="s">
        <v>136</v>
      </c>
      <c r="B120" s="35" t="s">
        <v>237</v>
      </c>
      <c r="C120" s="35" t="s">
        <v>410</v>
      </c>
    </row>
    <row r="121">
      <c r="A121" s="56" t="s">
        <v>10</v>
      </c>
      <c r="B121" s="56" t="s">
        <v>235</v>
      </c>
      <c r="C121" s="56" t="s">
        <v>236</v>
      </c>
    </row>
    <row r="122">
      <c r="A122" s="35" t="s">
        <v>66</v>
      </c>
      <c r="B122" s="35" t="s">
        <v>294</v>
      </c>
      <c r="C122" s="35" t="s">
        <v>323</v>
      </c>
    </row>
    <row r="123">
      <c r="A123" s="56" t="s">
        <v>213</v>
      </c>
      <c r="B123" s="56" t="s">
        <v>235</v>
      </c>
      <c r="C123" s="56" t="s">
        <v>491</v>
      </c>
    </row>
    <row r="124">
      <c r="A124" s="35" t="s">
        <v>126</v>
      </c>
      <c r="B124" s="35" t="s">
        <v>242</v>
      </c>
      <c r="C124" s="35" t="s">
        <v>395</v>
      </c>
    </row>
    <row r="125">
      <c r="A125" s="56" t="s">
        <v>43</v>
      </c>
      <c r="B125" s="56" t="s">
        <v>252</v>
      </c>
      <c r="C125" s="56" t="s">
        <v>291</v>
      </c>
    </row>
    <row r="126">
      <c r="A126" s="35" t="s">
        <v>162</v>
      </c>
      <c r="B126" s="35" t="s">
        <v>292</v>
      </c>
      <c r="C126" s="35" t="s">
        <v>454</v>
      </c>
    </row>
    <row r="127">
      <c r="A127" s="56" t="s">
        <v>149</v>
      </c>
      <c r="B127" s="56" t="s">
        <v>259</v>
      </c>
      <c r="C127" s="56" t="s">
        <v>435</v>
      </c>
    </row>
    <row r="128">
      <c r="A128" s="35" t="s">
        <v>186</v>
      </c>
      <c r="B128" s="35" t="s">
        <v>240</v>
      </c>
      <c r="C128" s="35" t="s">
        <v>264</v>
      </c>
    </row>
    <row r="129">
      <c r="A129" s="56" t="s">
        <v>173</v>
      </c>
      <c r="B129" s="56" t="s">
        <v>237</v>
      </c>
      <c r="C129" s="56" t="s">
        <v>389</v>
      </c>
    </row>
    <row r="130">
      <c r="A130" s="35" t="s">
        <v>58</v>
      </c>
      <c r="B130" s="35" t="s">
        <v>302</v>
      </c>
      <c r="C130" s="35" t="s">
        <v>303</v>
      </c>
    </row>
    <row r="131">
      <c r="A131" s="56" t="s">
        <v>211</v>
      </c>
      <c r="B131" s="56" t="s">
        <v>239</v>
      </c>
      <c r="C131" s="56" t="s">
        <v>211</v>
      </c>
    </row>
    <row r="132">
      <c r="A132" s="35" t="s">
        <v>14</v>
      </c>
      <c r="B132" s="35" t="s">
        <v>233</v>
      </c>
      <c r="C132" s="35" t="s">
        <v>469</v>
      </c>
    </row>
    <row r="133">
      <c r="A133" s="56" t="s">
        <v>199</v>
      </c>
      <c r="B133" s="56" t="s">
        <v>282</v>
      </c>
      <c r="C133" s="56" t="s">
        <v>444</v>
      </c>
    </row>
    <row r="134">
      <c r="A134" s="35" t="s">
        <v>36</v>
      </c>
      <c r="B134" s="35" t="s">
        <v>282</v>
      </c>
      <c r="C134" s="35" t="s">
        <v>283</v>
      </c>
    </row>
    <row r="135">
      <c r="A135" s="56" t="s">
        <v>108</v>
      </c>
      <c r="B135" s="56" t="s">
        <v>233</v>
      </c>
      <c r="C135" s="56" t="s">
        <v>383</v>
      </c>
    </row>
    <row r="136">
      <c r="A136" s="35" t="s">
        <v>69</v>
      </c>
      <c r="B136" s="35" t="s">
        <v>329</v>
      </c>
      <c r="C136" s="35" t="s">
        <v>330</v>
      </c>
    </row>
    <row r="137">
      <c r="A137" s="56" t="s">
        <v>68</v>
      </c>
      <c r="B137" s="56" t="s">
        <v>331</v>
      </c>
      <c r="C137" s="56" t="s">
        <v>332</v>
      </c>
    </row>
    <row r="138">
      <c r="A138" s="35" t="s">
        <v>184</v>
      </c>
      <c r="B138" s="35"/>
      <c r="C138" s="35" t="s">
        <v>427</v>
      </c>
    </row>
    <row r="139">
      <c r="A139" s="56" t="s">
        <v>137</v>
      </c>
      <c r="B139" s="56" t="s">
        <v>254</v>
      </c>
      <c r="C139" s="56" t="s">
        <v>406</v>
      </c>
    </row>
    <row r="140">
      <c r="A140" s="35" t="s">
        <v>190</v>
      </c>
      <c r="B140" s="35" t="s">
        <v>257</v>
      </c>
      <c r="C140" s="35" t="s">
        <v>455</v>
      </c>
    </row>
    <row r="141">
      <c r="A141" s="56" t="s">
        <v>164</v>
      </c>
      <c r="B141" s="56"/>
      <c r="C141" s="56" t="s">
        <v>450</v>
      </c>
    </row>
    <row r="142">
      <c r="A142" s="35" t="s">
        <v>217</v>
      </c>
      <c r="B142" s="35" t="s">
        <v>235</v>
      </c>
      <c r="C142" s="35" t="s">
        <v>274</v>
      </c>
    </row>
    <row r="143">
      <c r="A143" s="56" t="s">
        <v>142</v>
      </c>
      <c r="B143" s="56" t="s">
        <v>355</v>
      </c>
      <c r="C143" s="56" t="s">
        <v>414</v>
      </c>
    </row>
    <row r="144">
      <c r="A144" s="35" t="s">
        <v>198</v>
      </c>
      <c r="B144" s="35" t="s">
        <v>254</v>
      </c>
      <c r="C144" s="35" t="s">
        <v>346</v>
      </c>
    </row>
    <row r="145">
      <c r="A145" s="56" t="s">
        <v>141</v>
      </c>
      <c r="B145" s="56" t="s">
        <v>304</v>
      </c>
      <c r="C145" s="56" t="s">
        <v>423</v>
      </c>
    </row>
    <row r="146">
      <c r="A146" s="35" t="s">
        <v>169</v>
      </c>
      <c r="B146" s="35" t="s">
        <v>304</v>
      </c>
      <c r="C146" s="35" t="s">
        <v>486</v>
      </c>
    </row>
    <row r="147">
      <c r="A147" s="56" t="s">
        <v>116</v>
      </c>
      <c r="B147" s="56" t="s">
        <v>265</v>
      </c>
      <c r="C147" s="56" t="s">
        <v>403</v>
      </c>
    </row>
    <row r="148">
      <c r="A148" s="35" t="s">
        <v>120</v>
      </c>
      <c r="B148" s="35" t="s">
        <v>312</v>
      </c>
      <c r="C148" s="35" t="s">
        <v>392</v>
      </c>
    </row>
    <row r="149">
      <c r="A149" s="56" t="s">
        <v>174</v>
      </c>
      <c r="B149" s="56" t="s">
        <v>282</v>
      </c>
      <c r="C149" s="56" t="s">
        <v>401</v>
      </c>
    </row>
    <row r="150">
      <c r="A150" s="35" t="s">
        <v>101</v>
      </c>
      <c r="B150" s="35" t="s">
        <v>265</v>
      </c>
      <c r="C150" s="35" t="s">
        <v>373</v>
      </c>
    </row>
    <row r="151">
      <c r="A151" s="56" t="s">
        <v>180</v>
      </c>
      <c r="B151" s="56" t="s">
        <v>237</v>
      </c>
      <c r="C151" s="56" t="s">
        <v>334</v>
      </c>
    </row>
    <row r="152">
      <c r="A152" s="35" t="s">
        <v>110</v>
      </c>
      <c r="B152" s="35" t="s">
        <v>294</v>
      </c>
      <c r="C152" s="35" t="s">
        <v>376</v>
      </c>
    </row>
    <row r="153">
      <c r="A153" s="56" t="s">
        <v>93</v>
      </c>
      <c r="B153" s="56" t="s">
        <v>294</v>
      </c>
      <c r="C153" s="56" t="s">
        <v>364</v>
      </c>
    </row>
    <row r="154">
      <c r="A154" s="35" t="s">
        <v>31</v>
      </c>
      <c r="B154" s="35" t="s">
        <v>252</v>
      </c>
      <c r="C154" s="35" t="s">
        <v>277</v>
      </c>
    </row>
    <row r="155">
      <c r="A155" s="56" t="s">
        <v>172</v>
      </c>
      <c r="B155" s="56" t="s">
        <v>254</v>
      </c>
      <c r="C155" s="56" t="s">
        <v>460</v>
      </c>
    </row>
    <row r="156">
      <c r="A156" s="35" t="s">
        <v>98</v>
      </c>
      <c r="B156" s="35" t="s">
        <v>369</v>
      </c>
      <c r="C156" s="35" t="s">
        <v>370</v>
      </c>
    </row>
    <row r="157">
      <c r="A157" s="56" t="s">
        <v>87</v>
      </c>
      <c r="B157" s="56" t="s">
        <v>355</v>
      </c>
      <c r="C157" s="56" t="s">
        <v>356</v>
      </c>
    </row>
    <row r="158">
      <c r="A158" s="35" t="s">
        <v>27</v>
      </c>
      <c r="B158" s="35" t="s">
        <v>254</v>
      </c>
      <c r="C158" s="35" t="s">
        <v>275</v>
      </c>
    </row>
    <row r="159">
      <c r="A159" s="56" t="s">
        <v>155</v>
      </c>
      <c r="B159" s="56" t="s">
        <v>292</v>
      </c>
      <c r="C159" s="56" t="s">
        <v>439</v>
      </c>
    </row>
    <row r="160">
      <c r="A160" s="35" t="s">
        <v>75</v>
      </c>
      <c r="B160" s="35" t="s">
        <v>265</v>
      </c>
      <c r="C160" s="35" t="s">
        <v>338</v>
      </c>
    </row>
    <row r="161">
      <c r="A161" s="56" t="s">
        <v>152</v>
      </c>
      <c r="B161" s="56" t="s">
        <v>298</v>
      </c>
      <c r="C161" s="56" t="s">
        <v>421</v>
      </c>
    </row>
    <row r="162">
      <c r="A162" s="35" t="s">
        <v>29</v>
      </c>
      <c r="B162" s="35" t="s">
        <v>235</v>
      </c>
      <c r="C162" s="35" t="s">
        <v>272</v>
      </c>
    </row>
    <row r="163">
      <c r="A163" s="56" t="s">
        <v>206</v>
      </c>
      <c r="B163" s="56" t="s">
        <v>317</v>
      </c>
      <c r="C163" s="56" t="s">
        <v>398</v>
      </c>
    </row>
    <row r="164">
      <c r="A164" s="35" t="s">
        <v>83</v>
      </c>
      <c r="B164" s="35" t="s">
        <v>282</v>
      </c>
      <c r="C164" s="35" t="s">
        <v>357</v>
      </c>
    </row>
    <row r="165">
      <c r="A165" s="56" t="s">
        <v>224</v>
      </c>
      <c r="B165" s="56" t="s">
        <v>351</v>
      </c>
      <c r="C165" s="56" t="s">
        <v>352</v>
      </c>
    </row>
    <row r="166">
      <c r="A166" s="35" t="s">
        <v>147</v>
      </c>
      <c r="B166" s="35" t="s">
        <v>342</v>
      </c>
      <c r="C166" s="35" t="s">
        <v>412</v>
      </c>
    </row>
    <row r="167">
      <c r="A167" s="56" t="s">
        <v>71</v>
      </c>
      <c r="B167" s="56" t="s">
        <v>292</v>
      </c>
      <c r="C167" s="56" t="s">
        <v>339</v>
      </c>
    </row>
    <row r="168">
      <c r="A168" s="35" t="s">
        <v>81</v>
      </c>
      <c r="B168" s="35" t="s">
        <v>298</v>
      </c>
      <c r="C168" s="35" t="s">
        <v>347</v>
      </c>
    </row>
    <row r="169">
      <c r="A169" s="56" t="s">
        <v>100</v>
      </c>
      <c r="B169" s="56" t="s">
        <v>265</v>
      </c>
      <c r="C169" s="56" t="s">
        <v>377</v>
      </c>
    </row>
    <row r="170">
      <c r="A170" s="35" t="s">
        <v>32</v>
      </c>
      <c r="B170" s="35" t="s">
        <v>254</v>
      </c>
      <c r="C170" s="35" t="s">
        <v>278</v>
      </c>
    </row>
    <row r="171">
      <c r="A171" s="56" t="s">
        <v>195</v>
      </c>
      <c r="B171" s="56"/>
      <c r="C171" s="56" t="s">
        <v>489</v>
      </c>
    </row>
    <row r="172">
      <c r="A172" s="35" t="s">
        <v>170</v>
      </c>
      <c r="B172" s="35" t="s">
        <v>265</v>
      </c>
      <c r="C172" s="35" t="s">
        <v>459</v>
      </c>
    </row>
    <row r="173">
      <c r="A173" s="56" t="s">
        <v>146</v>
      </c>
      <c r="B173" s="56" t="s">
        <v>417</v>
      </c>
      <c r="C173" s="56" t="s">
        <v>418</v>
      </c>
    </row>
    <row r="174">
      <c r="A174" s="35" t="s">
        <v>111</v>
      </c>
      <c r="B174" s="35" t="s">
        <v>386</v>
      </c>
      <c r="C174" s="35" t="s">
        <v>387</v>
      </c>
    </row>
    <row r="175">
      <c r="A175" s="56" t="s">
        <v>109</v>
      </c>
      <c r="B175" s="56" t="s">
        <v>298</v>
      </c>
      <c r="C175" s="56" t="s">
        <v>109</v>
      </c>
    </row>
    <row r="176">
      <c r="A176" s="35" t="s">
        <v>205</v>
      </c>
      <c r="B176" s="35" t="s">
        <v>254</v>
      </c>
      <c r="C176" s="35" t="s">
        <v>490</v>
      </c>
    </row>
    <row r="177">
      <c r="A177" s="56" t="s">
        <v>113</v>
      </c>
      <c r="B177" s="56" t="s">
        <v>298</v>
      </c>
      <c r="C177" s="56" t="s">
        <v>388</v>
      </c>
    </row>
    <row r="178">
      <c r="A178" s="35" t="s">
        <v>30</v>
      </c>
      <c r="B178" s="35" t="s">
        <v>235</v>
      </c>
      <c r="C178" s="35" t="s">
        <v>268</v>
      </c>
    </row>
    <row r="179">
      <c r="A179" s="56" t="s">
        <v>121</v>
      </c>
      <c r="B179" s="56" t="s">
        <v>355</v>
      </c>
      <c r="C179" s="56" t="s">
        <v>425</v>
      </c>
    </row>
    <row r="180">
      <c r="A180" s="35" t="s">
        <v>117</v>
      </c>
      <c r="B180" s="35" t="s">
        <v>233</v>
      </c>
      <c r="C180" s="35" t="s">
        <v>480</v>
      </c>
    </row>
    <row r="181">
      <c r="A181" s="56" t="s">
        <v>148</v>
      </c>
      <c r="B181" s="56" t="s">
        <v>292</v>
      </c>
      <c r="C181" s="56" t="s">
        <v>438</v>
      </c>
    </row>
    <row r="182">
      <c r="A182" s="35" t="s">
        <v>167</v>
      </c>
      <c r="B182" s="35"/>
      <c r="C182" s="35" t="s">
        <v>453</v>
      </c>
    </row>
    <row r="183">
      <c r="A183" s="56" t="s">
        <v>41</v>
      </c>
      <c r="B183" s="56" t="s">
        <v>250</v>
      </c>
      <c r="C183" s="56" t="s">
        <v>290</v>
      </c>
    </row>
    <row r="184">
      <c r="A184" s="35" t="s">
        <v>85</v>
      </c>
      <c r="B184" s="35" t="s">
        <v>292</v>
      </c>
      <c r="C184" s="35" t="s">
        <v>359</v>
      </c>
    </row>
    <row r="185">
      <c r="A185" s="56" t="s">
        <v>80</v>
      </c>
      <c r="B185" s="56" t="s">
        <v>361</v>
      </c>
      <c r="C185" s="56" t="s">
        <v>362</v>
      </c>
    </row>
    <row r="186">
      <c r="A186" s="35" t="s">
        <v>178</v>
      </c>
      <c r="B186" s="35" t="s">
        <v>237</v>
      </c>
      <c r="C186" s="35" t="s">
        <v>273</v>
      </c>
    </row>
    <row r="187">
      <c r="A187" s="56" t="s">
        <v>49</v>
      </c>
      <c r="B187" s="56" t="s">
        <v>237</v>
      </c>
      <c r="C187" s="56" t="s">
        <v>320</v>
      </c>
    </row>
    <row r="188">
      <c r="A188" s="35" t="s">
        <v>54</v>
      </c>
      <c r="B188" s="35" t="s">
        <v>306</v>
      </c>
      <c r="C188" s="35" t="s">
        <v>307</v>
      </c>
    </row>
    <row r="189">
      <c r="A189" s="56" t="s">
        <v>118</v>
      </c>
      <c r="B189" s="56" t="s">
        <v>265</v>
      </c>
      <c r="C189" s="56" t="s">
        <v>404</v>
      </c>
    </row>
    <row r="190">
      <c r="A190" s="35" t="s">
        <v>19</v>
      </c>
      <c r="B190" s="35" t="s">
        <v>239</v>
      </c>
      <c r="C190" s="35" t="s">
        <v>256</v>
      </c>
    </row>
    <row r="191">
      <c r="A191" s="56" t="s">
        <v>12</v>
      </c>
      <c r="B191" s="56" t="s">
        <v>244</v>
      </c>
      <c r="C191" s="56" t="s">
        <v>245</v>
      </c>
    </row>
    <row r="192">
      <c r="A192" s="35" t="s">
        <v>23</v>
      </c>
      <c r="B192" s="35" t="s">
        <v>252</v>
      </c>
      <c r="C192" s="35" t="s">
        <v>270</v>
      </c>
    </row>
    <row r="193">
      <c r="A193" s="56" t="s">
        <v>177</v>
      </c>
      <c r="B193" s="56" t="s">
        <v>237</v>
      </c>
      <c r="C193" s="56" t="s">
        <v>249</v>
      </c>
    </row>
    <row r="194">
      <c r="A194" s="35" t="s">
        <v>17</v>
      </c>
      <c r="B194" s="35" t="s">
        <v>257</v>
      </c>
      <c r="C194" s="35" t="s">
        <v>470</v>
      </c>
    </row>
    <row r="195">
      <c r="A195" s="56" t="s">
        <v>145</v>
      </c>
      <c r="B195" s="56" t="s">
        <v>280</v>
      </c>
      <c r="C195" s="56" t="s">
        <v>428</v>
      </c>
    </row>
    <row r="196">
      <c r="A196" s="35" t="s">
        <v>65</v>
      </c>
      <c r="B196" s="35" t="s">
        <v>254</v>
      </c>
      <c r="C196" s="35" t="s">
        <v>340</v>
      </c>
    </row>
    <row r="197">
      <c r="A197" s="56" t="s">
        <v>212</v>
      </c>
      <c r="B197" s="56" t="s">
        <v>310</v>
      </c>
      <c r="C197" s="56" t="s">
        <v>311</v>
      </c>
    </row>
    <row r="198">
      <c r="A198" s="35" t="s">
        <v>202</v>
      </c>
      <c r="B198" s="35" t="s">
        <v>265</v>
      </c>
      <c r="C198" s="35" t="s">
        <v>348</v>
      </c>
    </row>
    <row r="199">
      <c r="A199" s="56" t="s">
        <v>133</v>
      </c>
      <c r="B199" s="56" t="s">
        <v>254</v>
      </c>
      <c r="C199" s="56" t="s">
        <v>399</v>
      </c>
    </row>
    <row r="200">
      <c r="A200" s="35" t="s">
        <v>63</v>
      </c>
      <c r="B200" s="35" t="s">
        <v>312</v>
      </c>
      <c r="C200" s="35" t="s">
        <v>313</v>
      </c>
    </row>
    <row r="201">
      <c r="A201" s="56" t="s">
        <v>150</v>
      </c>
      <c r="B201" s="56" t="s">
        <v>254</v>
      </c>
      <c r="C201" s="56" t="s">
        <v>442</v>
      </c>
    </row>
    <row r="202">
      <c r="A202" s="35" t="s">
        <v>13</v>
      </c>
      <c r="B202" s="35" t="s">
        <v>250</v>
      </c>
      <c r="C202" s="35" t="s">
        <v>251</v>
      </c>
    </row>
    <row r="203">
      <c r="A203" s="56" t="s">
        <v>55</v>
      </c>
      <c r="B203" s="56" t="s">
        <v>252</v>
      </c>
      <c r="C203" s="56" t="s">
        <v>474</v>
      </c>
    </row>
    <row r="204">
      <c r="A204" s="35" t="s">
        <v>168</v>
      </c>
      <c r="B204" s="35" t="s">
        <v>312</v>
      </c>
      <c r="C204" s="35" t="s">
        <v>452</v>
      </c>
    </row>
    <row r="205">
      <c r="A205" s="56" t="s">
        <v>82</v>
      </c>
      <c r="B205" s="56" t="s">
        <v>325</v>
      </c>
      <c r="C205" s="56" t="s">
        <v>326</v>
      </c>
    </row>
    <row r="206">
      <c r="A206" s="35" t="s">
        <v>33</v>
      </c>
      <c r="B206" s="35" t="s">
        <v>259</v>
      </c>
      <c r="C206" s="35" t="s">
        <v>269</v>
      </c>
    </row>
    <row r="207">
      <c r="A207" s="56" t="s">
        <v>129</v>
      </c>
      <c r="B207" s="56" t="s">
        <v>355</v>
      </c>
      <c r="C207" s="56" t="s">
        <v>422</v>
      </c>
    </row>
    <row r="208">
      <c r="A208" s="35" t="s">
        <v>123</v>
      </c>
      <c r="B208" s="35" t="s">
        <v>294</v>
      </c>
      <c r="C208" s="35" t="s">
        <v>397</v>
      </c>
    </row>
    <row r="209">
      <c r="A209" s="56" t="s">
        <v>210</v>
      </c>
      <c r="B209" s="56" t="s">
        <v>265</v>
      </c>
      <c r="C209" s="56" t="s">
        <v>378</v>
      </c>
    </row>
    <row r="210">
      <c r="A210" s="35" t="s">
        <v>102</v>
      </c>
      <c r="B210" s="35" t="s">
        <v>254</v>
      </c>
      <c r="C210" s="35" t="s">
        <v>391</v>
      </c>
    </row>
    <row r="211">
      <c r="A211" s="56" t="s">
        <v>11</v>
      </c>
      <c r="B211" s="56" t="s">
        <v>242</v>
      </c>
      <c r="C211" s="56" t="s">
        <v>243</v>
      </c>
    </row>
    <row r="212">
      <c r="A212" s="35" t="s">
        <v>103</v>
      </c>
      <c r="B212" s="35" t="s">
        <v>298</v>
      </c>
      <c r="C212" s="35" t="s">
        <v>380</v>
      </c>
    </row>
    <row r="213">
      <c r="A213" s="56" t="s">
        <v>156</v>
      </c>
      <c r="B213" s="56" t="s">
        <v>265</v>
      </c>
      <c r="C213" s="56" t="s">
        <v>446</v>
      </c>
    </row>
    <row r="214">
      <c r="A214" s="35" t="s">
        <v>185</v>
      </c>
      <c r="B214" s="35" t="s">
        <v>355</v>
      </c>
      <c r="C214" s="35" t="s">
        <v>488</v>
      </c>
    </row>
    <row r="215">
      <c r="A215" s="56" t="s">
        <v>176</v>
      </c>
      <c r="B215" s="56" t="s">
        <v>254</v>
      </c>
      <c r="C215" s="56" t="s">
        <v>301</v>
      </c>
    </row>
    <row r="216">
      <c r="A216" s="35" t="s">
        <v>222</v>
      </c>
      <c r="B216" s="35" t="s">
        <v>265</v>
      </c>
      <c r="C216" s="35" t="s">
        <v>358</v>
      </c>
    </row>
    <row r="217">
      <c r="A217" s="56" t="s">
        <v>151</v>
      </c>
      <c r="B217" s="56" t="s">
        <v>254</v>
      </c>
      <c r="C217" s="56" t="s">
        <v>436</v>
      </c>
    </row>
    <row r="218">
      <c r="A218" s="35" t="s">
        <v>78</v>
      </c>
      <c r="B218" s="35" t="s">
        <v>298</v>
      </c>
      <c r="C218" s="35" t="s">
        <v>341</v>
      </c>
    </row>
    <row r="219">
      <c r="A219" s="61"/>
      <c r="B219" s="61"/>
      <c r="C219" s="61"/>
    </row>
    <row r="220">
      <c r="A220" s="62"/>
      <c r="B220" s="62"/>
      <c r="C220" s="62"/>
    </row>
  </sheetData>
  <mergeCells count="1">
    <mergeCell ref="A37:C37"/>
  </mergeCells>
  <drawing r:id="rId1"/>
</worksheet>
</file>