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89D60B84-A095-47A6-B03D-6A71C0E73D72}" xr6:coauthVersionLast="47" xr6:coauthVersionMax="47" xr10:uidLastSave="{00000000-0000-0000-0000-000000000000}"/>
  <bookViews>
    <workbookView xWindow="-108" yWindow="-108" windowWidth="41496" windowHeight="16896" activeTab="1" xr2:uid="{00000000-000D-0000-FFFF-FFFF00000000}"/>
  </bookViews>
  <sheets>
    <sheet name="Bảng Input L30" sheetId="2" r:id="rId1"/>
    <sheet name="Tính TP Sư Huynh" sheetId="3" r:id="rId2"/>
    <sheet name="Tổng lot và ký quỹ" sheetId="4" r:id="rId3"/>
    <sheet name="Tính TP thay đổi hệ số, quã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R7" i="3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K7" i="3" l="1"/>
  <c r="L7" i="3"/>
  <c r="H7" i="3"/>
  <c r="I7" i="3"/>
  <c r="M7" i="3"/>
  <c r="J7" i="3"/>
  <c r="N7" i="3"/>
  <c r="O7" i="3"/>
  <c r="D7" i="3"/>
  <c r="P7" i="3"/>
  <c r="E7" i="3"/>
  <c r="Q7" i="3"/>
  <c r="F7" i="3"/>
  <c r="G7" i="3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B10" i="3" s="1"/>
  <c r="L11" i="7" l="1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I21" i="7" l="1"/>
  <c r="D8" i="7"/>
  <c r="P10" i="3"/>
  <c r="G10" i="3"/>
  <c r="K10" i="3"/>
  <c r="O10" i="3"/>
  <c r="B11" i="3"/>
  <c r="D10" i="3"/>
  <c r="H10" i="3"/>
  <c r="L10" i="3"/>
  <c r="A15" i="2"/>
  <c r="D14" i="2"/>
  <c r="B14" i="2"/>
  <c r="D13" i="2"/>
  <c r="C13" i="2" s="1"/>
  <c r="J9" i="7" l="1"/>
  <c r="J21" i="7" s="1"/>
  <c r="M9" i="7"/>
  <c r="Q9" i="7"/>
  <c r="U9" i="7"/>
  <c r="L9" i="7"/>
  <c r="T9" i="7"/>
  <c r="N9" i="7"/>
  <c r="R9" i="7"/>
  <c r="K9" i="7"/>
  <c r="O9" i="7"/>
  <c r="S9" i="7"/>
  <c r="P9" i="7"/>
  <c r="D9" i="7"/>
  <c r="C10" i="3"/>
  <c r="C26" i="3" s="1"/>
  <c r="Q10" i="3"/>
  <c r="M10" i="3"/>
  <c r="I10" i="3"/>
  <c r="E10" i="3"/>
  <c r="R10" i="3"/>
  <c r="N10" i="3"/>
  <c r="J10" i="3"/>
  <c r="F10" i="3"/>
  <c r="P11" i="3"/>
  <c r="L11" i="3"/>
  <c r="H11" i="3"/>
  <c r="D11" i="3"/>
  <c r="D26" i="3" s="1"/>
  <c r="B12" i="3"/>
  <c r="O11" i="3"/>
  <c r="K11" i="3"/>
  <c r="G11" i="3"/>
  <c r="Q11" i="3"/>
  <c r="M11" i="3"/>
  <c r="I11" i="3"/>
  <c r="E11" i="3"/>
  <c r="R11" i="3"/>
  <c r="N11" i="3"/>
  <c r="J11" i="3"/>
  <c r="F11" i="3"/>
  <c r="A16" i="2"/>
  <c r="D15" i="2"/>
  <c r="B15" i="2"/>
  <c r="C14" i="2"/>
  <c r="K10" i="7" l="1"/>
  <c r="K21" i="7" s="1"/>
  <c r="P10" i="7"/>
  <c r="T10" i="7"/>
  <c r="N10" i="7"/>
  <c r="L10" i="7"/>
  <c r="O10" i="7"/>
  <c r="M10" i="7"/>
  <c r="Q10" i="7"/>
  <c r="U10" i="7"/>
  <c r="R10" i="7"/>
  <c r="S10" i="7"/>
  <c r="D10" i="7"/>
  <c r="Q12" i="3"/>
  <c r="M12" i="3"/>
  <c r="I12" i="3"/>
  <c r="E12" i="3"/>
  <c r="E26" i="3" s="1"/>
  <c r="P12" i="3"/>
  <c r="L12" i="3"/>
  <c r="H12" i="3"/>
  <c r="R12" i="3"/>
  <c r="N12" i="3"/>
  <c r="J12" i="3"/>
  <c r="F12" i="3"/>
  <c r="B13" i="3"/>
  <c r="O12" i="3"/>
  <c r="K12" i="3"/>
  <c r="G12" i="3"/>
  <c r="C15" i="2"/>
  <c r="A17" i="2"/>
  <c r="D16" i="2"/>
  <c r="B16" i="2"/>
  <c r="L21" i="7" l="1"/>
  <c r="N11" i="7"/>
  <c r="R11" i="7"/>
  <c r="M11" i="7"/>
  <c r="P11" i="7"/>
  <c r="Q11" i="7"/>
  <c r="O11" i="7"/>
  <c r="S11" i="7"/>
  <c r="T11" i="7"/>
  <c r="U11" i="7"/>
  <c r="D11" i="7"/>
  <c r="B14" i="3"/>
  <c r="O13" i="3"/>
  <c r="K13" i="3"/>
  <c r="G13" i="3"/>
  <c r="R13" i="3"/>
  <c r="N13" i="3"/>
  <c r="J13" i="3"/>
  <c r="F13" i="3"/>
  <c r="F26" i="3" s="1"/>
  <c r="P13" i="3"/>
  <c r="L13" i="3"/>
  <c r="H13" i="3"/>
  <c r="Q13" i="3"/>
  <c r="M13" i="3"/>
  <c r="I13" i="3"/>
  <c r="A18" i="2"/>
  <c r="D17" i="2"/>
  <c r="B17" i="2"/>
  <c r="C16" i="2"/>
  <c r="M12" i="7" l="1"/>
  <c r="M21" i="7" s="1"/>
  <c r="O12" i="7"/>
  <c r="S12" i="7"/>
  <c r="Q12" i="7"/>
  <c r="P12" i="7"/>
  <c r="T12" i="7"/>
  <c r="U12" i="7"/>
  <c r="R12" i="7"/>
  <c r="N12" i="7"/>
  <c r="D12" i="7"/>
  <c r="R14" i="3"/>
  <c r="N14" i="3"/>
  <c r="J14" i="3"/>
  <c r="Q14" i="3"/>
  <c r="M14" i="3"/>
  <c r="I14" i="3"/>
  <c r="B15" i="3"/>
  <c r="O14" i="3"/>
  <c r="K14" i="3"/>
  <c r="G14" i="3"/>
  <c r="G26" i="3" s="1"/>
  <c r="P14" i="3"/>
  <c r="L14" i="3"/>
  <c r="H14" i="3"/>
  <c r="C17" i="2"/>
  <c r="A19" i="2"/>
  <c r="D18" i="2"/>
  <c r="B18" i="2"/>
  <c r="N13" i="7" l="1"/>
  <c r="N21" i="7" s="1"/>
  <c r="S13" i="7"/>
  <c r="Q13" i="7"/>
  <c r="O13" i="7"/>
  <c r="P13" i="7"/>
  <c r="T13" i="7"/>
  <c r="U13" i="7"/>
  <c r="R13" i="7"/>
  <c r="D13" i="7"/>
  <c r="R15" i="3"/>
  <c r="N15" i="3"/>
  <c r="J15" i="3"/>
  <c r="Q15" i="3"/>
  <c r="M15" i="3"/>
  <c r="I15" i="3"/>
  <c r="B16" i="3"/>
  <c r="O15" i="3"/>
  <c r="K15" i="3"/>
  <c r="P15" i="3"/>
  <c r="L15" i="3"/>
  <c r="H15" i="3"/>
  <c r="H26" i="3" s="1"/>
  <c r="A20" i="2"/>
  <c r="D19" i="2"/>
  <c r="B19" i="2"/>
  <c r="C18" i="2"/>
  <c r="O14" i="7" l="1"/>
  <c r="O21" i="7" s="1"/>
  <c r="R14" i="7"/>
  <c r="P14" i="7"/>
  <c r="Q14" i="7"/>
  <c r="U14" i="7"/>
  <c r="S14" i="7"/>
  <c r="T14" i="7"/>
  <c r="D14" i="7"/>
  <c r="C19" i="2"/>
  <c r="B17" i="3"/>
  <c r="O16" i="3"/>
  <c r="K16" i="3"/>
  <c r="R16" i="3"/>
  <c r="N16" i="3"/>
  <c r="J16" i="3"/>
  <c r="P16" i="3"/>
  <c r="L16" i="3"/>
  <c r="Q16" i="3"/>
  <c r="M16" i="3"/>
  <c r="I16" i="3"/>
  <c r="I26" i="3" s="1"/>
  <c r="A21" i="2"/>
  <c r="D20" i="2"/>
  <c r="B20" i="2"/>
  <c r="P15" i="7" l="1"/>
  <c r="P21" i="7" s="1"/>
  <c r="T15" i="7"/>
  <c r="Q15" i="7"/>
  <c r="S15" i="7"/>
  <c r="U15" i="7"/>
  <c r="R15" i="7"/>
  <c r="D15" i="7"/>
  <c r="Q17" i="3"/>
  <c r="M17" i="3"/>
  <c r="P17" i="3"/>
  <c r="L17" i="3"/>
  <c r="R17" i="3"/>
  <c r="N17" i="3"/>
  <c r="J17" i="3"/>
  <c r="J26" i="3" s="1"/>
  <c r="B18" i="3"/>
  <c r="O17" i="3"/>
  <c r="K17" i="3"/>
  <c r="C20" i="2"/>
  <c r="A22" i="2"/>
  <c r="D21" i="2"/>
  <c r="B21" i="2"/>
  <c r="Q16" i="7" l="1"/>
  <c r="Q21" i="7" s="1"/>
  <c r="U16" i="7"/>
  <c r="T16" i="7"/>
  <c r="R16" i="7"/>
  <c r="S16" i="7"/>
  <c r="D16" i="7"/>
  <c r="C21" i="2"/>
  <c r="P18" i="3"/>
  <c r="L18" i="3"/>
  <c r="B19" i="3"/>
  <c r="O18" i="3"/>
  <c r="K18" i="3"/>
  <c r="K26" i="3" s="1"/>
  <c r="Q18" i="3"/>
  <c r="M18" i="3"/>
  <c r="R18" i="3"/>
  <c r="N18" i="3"/>
  <c r="A23" i="2"/>
  <c r="D22" i="2"/>
  <c r="B22" i="2"/>
  <c r="R17" i="7" l="1"/>
  <c r="R21" i="7" s="1"/>
  <c r="U17" i="7"/>
  <c r="S17" i="7"/>
  <c r="T17" i="7"/>
  <c r="D17" i="7"/>
  <c r="C22" i="2"/>
  <c r="P19" i="3"/>
  <c r="L19" i="3"/>
  <c r="L26" i="3" s="1"/>
  <c r="B20" i="3"/>
  <c r="O19" i="3"/>
  <c r="Q19" i="3"/>
  <c r="M19" i="3"/>
  <c r="R19" i="3"/>
  <c r="N19" i="3"/>
  <c r="A24" i="2"/>
  <c r="D24" i="2" s="1"/>
  <c r="D23" i="2"/>
  <c r="B23" i="2"/>
  <c r="S18" i="7" l="1"/>
  <c r="S21" i="7" s="1"/>
  <c r="U18" i="7"/>
  <c r="T18" i="7"/>
  <c r="D18" i="7"/>
  <c r="C23" i="2"/>
  <c r="Q20" i="3"/>
  <c r="M20" i="3"/>
  <c r="M26" i="3" s="1"/>
  <c r="P20" i="3"/>
  <c r="R20" i="3"/>
  <c r="N20" i="3"/>
  <c r="B21" i="3"/>
  <c r="O20" i="3"/>
  <c r="A25" i="2"/>
  <c r="D25" i="2" s="1"/>
  <c r="B24" i="2"/>
  <c r="T19" i="7" l="1"/>
  <c r="T21" i="7" s="1"/>
  <c r="U19" i="7"/>
  <c r="D19" i="7"/>
  <c r="U20" i="7"/>
  <c r="C24" i="2"/>
  <c r="B22" i="3"/>
  <c r="O21" i="3"/>
  <c r="R21" i="3"/>
  <c r="N21" i="3"/>
  <c r="N26" i="3" s="1"/>
  <c r="P21" i="3"/>
  <c r="Q21" i="3"/>
  <c r="A26" i="2"/>
  <c r="D26" i="2" s="1"/>
  <c r="B25" i="2"/>
  <c r="U21" i="7" l="1"/>
  <c r="D20" i="7"/>
  <c r="R22" i="3"/>
  <c r="Q22" i="3"/>
  <c r="B23" i="3"/>
  <c r="O22" i="3"/>
  <c r="O26" i="3" s="1"/>
  <c r="P22" i="3"/>
  <c r="C25" i="2"/>
  <c r="A27" i="2"/>
  <c r="D27" i="2" s="1"/>
  <c r="B26" i="2"/>
  <c r="C26" i="2" l="1"/>
  <c r="R23" i="3"/>
  <c r="R24" i="3"/>
  <c r="Q23" i="3"/>
  <c r="B24" i="3"/>
  <c r="P23" i="3"/>
  <c r="P26" i="3" s="1"/>
  <c r="A28" i="2"/>
  <c r="D28" i="2" s="1"/>
  <c r="B27" i="2"/>
  <c r="B25" i="3" l="1"/>
  <c r="R25" i="3" s="1"/>
  <c r="R26" i="3" s="1"/>
  <c r="Q24" i="3"/>
  <c r="Q26" i="3" s="1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C43" i="2" l="1"/>
  <c r="C44" i="2" s="1"/>
  <c r="F5" i="4"/>
  <c r="G5" i="4" s="1"/>
  <c r="H5" i="4" l="1"/>
</calcChain>
</file>

<file path=xl/sharedStrings.xml><?xml version="1.0" encoding="utf-8"?>
<sst xmlns="http://schemas.openxmlformats.org/spreadsheetml/2006/main" count="95" uniqueCount="78">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</sst>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#,##0.0_);\(#,##0.0\)"/>
    <numFmt numFmtId="179" formatCode="_(* #,##0_);_(* \(#,##0\);_(* &quot;-&quot;??_);_(@_)"/>
    <numFmt numFmtId="180" formatCode="0;\-0;;\ @"/>
    <numFmt numFmtId="181" formatCode="0.00;\-0.00;;\ @"/>
    <numFmt numFmtId="182" formatCode="#,##0.000"/>
    <numFmt numFmtId="183" formatCode="#,##0.0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82" fontId="3" fillId="0" borderId="27" xfId="2" applyNumberFormat="1" applyFont="1" applyBorder="1"/>
    <xf numFmtId="0" fontId="9" fillId="0" borderId="0" xfId="2" applyFont="1"/>
    <xf numFmtId="180" fontId="10" fillId="3" borderId="0" xfId="1" applyNumberFormat="1" applyFont="1" applyFill="1"/>
    <xf numFmtId="181" fontId="10" fillId="3" borderId="0" xfId="1" applyNumberFormat="1" applyFont="1" applyFill="1"/>
    <xf numFmtId="181" fontId="10" fillId="0" borderId="20" xfId="1" applyNumberFormat="1" applyFont="1" applyBorder="1"/>
    <xf numFmtId="180" fontId="10" fillId="0" borderId="21" xfId="1" applyNumberFormat="1" applyFont="1" applyBorder="1"/>
    <xf numFmtId="181" fontId="10" fillId="0" borderId="9" xfId="1" applyNumberFormat="1" applyFont="1" applyBorder="1"/>
    <xf numFmtId="180" fontId="9" fillId="0" borderId="0" xfId="2" applyNumberFormat="1" applyFont="1"/>
    <xf numFmtId="181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83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left" vertical="center"/>
    </xf>
    <xf numFmtId="0" fontId="11" fillId="0" borderId="0" xfId="2" applyFont="1"/>
    <xf numFmtId="0" fontId="11" fillId="0" borderId="0" xfId="1" applyFont="1"/>
    <xf numFmtId="4" fontId="13" fillId="8" borderId="0" xfId="4" applyNumberFormat="1" applyFont="1"/>
    <xf numFmtId="0" fontId="14" fillId="9" borderId="0" xfId="5" applyFont="1"/>
    <xf numFmtId="4" fontId="15" fillId="10" borderId="28" xfId="6" applyNumberFormat="1" applyFont="1"/>
    <xf numFmtId="4" fontId="11" fillId="0" borderId="0" xfId="1" applyNumberFormat="1" applyFont="1"/>
    <xf numFmtId="0" fontId="16" fillId="2" borderId="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0" borderId="2" xfId="1" applyFont="1" applyBorder="1" applyAlignment="1">
      <alignment horizontal="left"/>
    </xf>
    <xf numFmtId="0" fontId="17" fillId="0" borderId="3" xfId="1" applyFont="1" applyBorder="1" applyAlignment="1">
      <alignment horizontal="left"/>
    </xf>
    <xf numFmtId="177" fontId="18" fillId="0" borderId="4" xfId="3" applyNumberFormat="1" applyFont="1" applyBorder="1" applyAlignment="1">
      <alignment horizontal="center" vertical="center"/>
    </xf>
    <xf numFmtId="177" fontId="18" fillId="0" borderId="5" xfId="3" applyNumberFormat="1" applyFont="1" applyBorder="1" applyAlignment="1">
      <alignment horizontal="center" vertical="center"/>
    </xf>
    <xf numFmtId="0" fontId="17" fillId="0" borderId="6" xfId="1" applyFont="1" applyBorder="1" applyAlignment="1">
      <alignment horizontal="left"/>
    </xf>
    <xf numFmtId="0" fontId="17" fillId="0" borderId="7" xfId="1" applyFont="1" applyBorder="1" applyAlignment="1">
      <alignment horizontal="left"/>
    </xf>
    <xf numFmtId="0" fontId="17" fillId="0" borderId="8" xfId="1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176" fontId="18" fillId="0" borderId="9" xfId="3" applyFont="1" applyBorder="1" applyAlignment="1">
      <alignment horizontal="center" vertical="center"/>
    </xf>
    <xf numFmtId="176" fontId="18" fillId="0" borderId="10" xfId="3" applyFont="1" applyBorder="1" applyAlignment="1">
      <alignment horizontal="center" vertical="center"/>
    </xf>
    <xf numFmtId="178" fontId="18" fillId="0" borderId="11" xfId="3" applyNumberFormat="1" applyFont="1" applyBorder="1" applyAlignment="1">
      <alignment vertical="center"/>
    </xf>
    <xf numFmtId="178" fontId="18" fillId="0" borderId="12" xfId="3" applyNumberFormat="1" applyFont="1" applyBorder="1" applyAlignment="1">
      <alignment vertical="center"/>
    </xf>
    <xf numFmtId="0" fontId="17" fillId="0" borderId="13" xfId="1" applyFont="1" applyBorder="1" applyAlignment="1">
      <alignment horizontal="left"/>
    </xf>
    <xf numFmtId="0" fontId="17" fillId="0" borderId="14" xfId="1" applyFont="1" applyBorder="1" applyAlignment="1">
      <alignment horizontal="left"/>
    </xf>
    <xf numFmtId="179" fontId="18" fillId="0" borderId="14" xfId="3" applyNumberFormat="1" applyFont="1" applyBorder="1" applyAlignment="1">
      <alignment horizontal="center" vertical="center"/>
    </xf>
    <xf numFmtId="179" fontId="18" fillId="0" borderId="15" xfId="3" applyNumberFormat="1" applyFont="1" applyBorder="1" applyAlignment="1">
      <alignment horizontal="center" vertical="center"/>
    </xf>
    <xf numFmtId="180" fontId="16" fillId="2" borderId="16" xfId="1" applyNumberFormat="1" applyFont="1" applyFill="1" applyBorder="1" applyAlignment="1">
      <alignment horizontal="center" vertical="center"/>
    </xf>
    <xf numFmtId="181" fontId="16" fillId="2" borderId="17" xfId="1" applyNumberFormat="1" applyFont="1" applyFill="1" applyBorder="1" applyAlignment="1">
      <alignment horizontal="center" vertical="center"/>
    </xf>
    <xf numFmtId="180" fontId="16" fillId="2" borderId="18" xfId="1" applyNumberFormat="1" applyFont="1" applyFill="1" applyBorder="1" applyAlignment="1">
      <alignment horizontal="center" vertical="center"/>
    </xf>
    <xf numFmtId="180" fontId="10" fillId="0" borderId="19" xfId="1" applyNumberFormat="1" applyFont="1" applyBorder="1" applyAlignment="1">
      <alignment horizontal="center" vertical="center"/>
    </xf>
    <xf numFmtId="4" fontId="16" fillId="2" borderId="16" xfId="1" applyNumberFormat="1" applyFont="1" applyFill="1" applyBorder="1" applyAlignment="1">
      <alignment horizontal="center" vertical="center"/>
    </xf>
    <xf numFmtId="4" fontId="16" fillId="2" borderId="17" xfId="1" applyNumberFormat="1" applyFont="1" applyFill="1" applyBorder="1" applyAlignment="1">
      <alignment horizontal="center" vertical="center"/>
    </xf>
    <xf numFmtId="3" fontId="16" fillId="2" borderId="18" xfId="1" applyNumberFormat="1" applyFont="1" applyFill="1" applyBorder="1" applyAlignment="1">
      <alignment vertical="center"/>
    </xf>
    <xf numFmtId="180" fontId="16" fillId="2" borderId="18" xfId="1" applyNumberFormat="1" applyFont="1" applyFill="1" applyBorder="1" applyAlignment="1">
      <alignment vertical="center"/>
    </xf>
    <xf numFmtId="0" fontId="19" fillId="0" borderId="27" xfId="0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22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22" fillId="6" borderId="26" xfId="2" applyFont="1" applyFill="1" applyBorder="1" applyAlignment="1">
      <alignment horizontal="center" vertical="center"/>
    </xf>
    <xf numFmtId="0" fontId="23" fillId="4" borderId="27" xfId="2" applyFont="1" applyFill="1" applyBorder="1" applyAlignment="1">
      <alignment horizontal="center" vertical="center"/>
    </xf>
    <xf numFmtId="4" fontId="23" fillId="0" borderId="27" xfId="2" applyNumberFormat="1" applyFont="1" applyBorder="1" applyAlignment="1">
      <alignment horizontal="center"/>
    </xf>
    <xf numFmtId="3" fontId="23" fillId="0" borderId="27" xfId="2" applyNumberFormat="1" applyFont="1" applyBorder="1" applyAlignment="1">
      <alignment horizontal="right"/>
    </xf>
    <xf numFmtId="3" fontId="23" fillId="0" borderId="27" xfId="2" applyNumberFormat="1" applyFont="1" applyBorder="1"/>
    <xf numFmtId="0" fontId="25" fillId="0" borderId="0" xfId="1" applyFont="1"/>
    <xf numFmtId="0" fontId="23" fillId="18" borderId="27" xfId="2" applyFont="1" applyFill="1" applyBorder="1" applyAlignment="1">
      <alignment horizontal="center" vertical="center"/>
    </xf>
    <xf numFmtId="0" fontId="23" fillId="7" borderId="27" xfId="2" applyFont="1" applyFill="1" applyBorder="1" applyAlignment="1">
      <alignment horizontal="center"/>
    </xf>
    <xf numFmtId="4" fontId="23" fillId="6" borderId="27" xfId="2" applyNumberFormat="1" applyFont="1" applyFill="1" applyBorder="1" applyAlignment="1">
      <alignment horizontal="center"/>
    </xf>
    <xf numFmtId="0" fontId="23" fillId="0" borderId="27" xfId="2" applyFont="1" applyBorder="1" applyAlignment="1">
      <alignment horizontal="center"/>
    </xf>
    <xf numFmtId="4" fontId="3" fillId="0" borderId="27" xfId="2" applyNumberFormat="1" applyFont="1" applyBorder="1"/>
    <xf numFmtId="3" fontId="24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177" fontId="18" fillId="19" borderId="4" xfId="3" applyNumberFormat="1" applyFont="1" applyFill="1" applyBorder="1" applyAlignment="1">
      <alignment horizontal="center" vertical="center"/>
    </xf>
    <xf numFmtId="177" fontId="18" fillId="19" borderId="5" xfId="3" applyNumberFormat="1" applyFont="1" applyFill="1" applyBorder="1" applyAlignment="1">
      <alignment horizontal="center" vertical="center"/>
    </xf>
    <xf numFmtId="0" fontId="22" fillId="5" borderId="23" xfId="2" applyFont="1" applyFill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0"/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zoomScale="70" zoomScaleNormal="70" workbookViewId="0">
      <selection activeCell="H9" sqref="H9"/>
    </sheetView>
  </sheetViews>
  <sheetFormatPr defaultColWidth="9.125" defaultRowHeight="12.75" x14ac:dyDescent="0.2"/>
  <cols>
    <col min="1" max="1" width="14.75" style="11" customWidth="1"/>
    <col min="2" max="2" width="14.75" style="12" customWidth="1"/>
    <col min="3" max="4" width="14.75" style="11" customWidth="1"/>
    <col min="5" max="16384" width="9.125" style="5"/>
  </cols>
  <sheetData>
    <row r="1" spans="1:4" ht="17.25" thickBot="1" x14ac:dyDescent="0.25">
      <c r="A1" s="54" t="s">
        <v>0</v>
      </c>
      <c r="B1" s="55"/>
      <c r="C1" s="55"/>
      <c r="D1" s="55"/>
    </row>
    <row r="2" spans="1:4" ht="18" thickTop="1" thickBot="1" x14ac:dyDescent="0.3">
      <c r="A2" s="56" t="s">
        <v>1</v>
      </c>
      <c r="B2" s="57"/>
      <c r="C2" s="100">
        <v>5</v>
      </c>
      <c r="D2" s="101"/>
    </row>
    <row r="3" spans="1:4" ht="18" thickTop="1" thickBot="1" x14ac:dyDescent="0.3">
      <c r="A3" s="60" t="s">
        <v>2</v>
      </c>
      <c r="B3" s="61"/>
      <c r="C3" s="58">
        <f>C2</f>
        <v>5</v>
      </c>
      <c r="D3" s="59"/>
    </row>
    <row r="4" spans="1:4" ht="18" thickTop="1" thickBot="1" x14ac:dyDescent="0.3">
      <c r="A4" s="60" t="s">
        <v>3</v>
      </c>
      <c r="B4" s="61"/>
      <c r="C4" s="58">
        <f>C3</f>
        <v>5</v>
      </c>
      <c r="D4" s="59"/>
    </row>
    <row r="5" spans="1:4" ht="18" thickTop="1" thickBot="1" x14ac:dyDescent="0.3">
      <c r="A5" s="60" t="s">
        <v>4</v>
      </c>
      <c r="B5" s="61"/>
      <c r="C5" s="58">
        <f>C4</f>
        <v>5</v>
      </c>
      <c r="D5" s="59"/>
    </row>
    <row r="6" spans="1:4" ht="18" thickTop="1" thickBot="1" x14ac:dyDescent="0.3">
      <c r="A6" s="60" t="s">
        <v>5</v>
      </c>
      <c r="B6" s="61"/>
      <c r="C6" s="58">
        <f>C5</f>
        <v>5</v>
      </c>
      <c r="D6" s="59"/>
    </row>
    <row r="7" spans="1:4" ht="17.25" thickTop="1" x14ac:dyDescent="0.25">
      <c r="A7" s="60" t="s">
        <v>6</v>
      </c>
      <c r="B7" s="61"/>
      <c r="C7" s="58">
        <f>C6</f>
        <v>5</v>
      </c>
      <c r="D7" s="59"/>
    </row>
    <row r="8" spans="1:4" ht="20.25" x14ac:dyDescent="0.4">
      <c r="A8" s="62" t="s">
        <v>73</v>
      </c>
      <c r="B8" s="63"/>
      <c r="C8" s="64">
        <v>0.01</v>
      </c>
      <c r="D8" s="65"/>
    </row>
    <row r="9" spans="1:4" ht="16.5" x14ac:dyDescent="0.25">
      <c r="A9" s="62" t="s">
        <v>7</v>
      </c>
      <c r="B9" s="63"/>
      <c r="C9" s="66">
        <v>1.6180000000000001</v>
      </c>
      <c r="D9" s="67"/>
    </row>
    <row r="10" spans="1:4" ht="21" thickBot="1" x14ac:dyDescent="0.45">
      <c r="A10" s="68" t="s">
        <v>74</v>
      </c>
      <c r="B10" s="69"/>
      <c r="C10" s="70">
        <v>10</v>
      </c>
      <c r="D10" s="71"/>
    </row>
    <row r="11" spans="1:4" ht="18" thickTop="1" thickBot="1" x14ac:dyDescent="0.3">
      <c r="A11" s="6"/>
      <c r="B11" s="7"/>
      <c r="C11" s="6"/>
      <c r="D11" s="6"/>
    </row>
    <row r="12" spans="1:4" ht="18" thickTop="1" thickBot="1" x14ac:dyDescent="0.25">
      <c r="A12" s="72" t="s">
        <v>8</v>
      </c>
      <c r="B12" s="73" t="s">
        <v>9</v>
      </c>
      <c r="C12" s="74" t="s">
        <v>10</v>
      </c>
      <c r="D12" s="74" t="s">
        <v>11</v>
      </c>
    </row>
    <row r="13" spans="1:4" ht="17.25" thickTop="1" x14ac:dyDescent="0.25">
      <c r="A13" s="75" t="str">
        <f>IF($C$10&gt;0,"L1",0)</f>
        <v>L1</v>
      </c>
      <c r="B13" s="8">
        <f>+C8</f>
        <v>0.01</v>
      </c>
      <c r="C13" s="9">
        <f>+B13*D13*100</f>
        <v>45</v>
      </c>
      <c r="D13" s="9">
        <f>IF(A13=0,0,$C$2+$C$3+$C$4+$C$5+$C$6+($C$7*($C$10-6)))</f>
        <v>45</v>
      </c>
    </row>
    <row r="14" spans="1:4" ht="16.5" x14ac:dyDescent="0.25">
      <c r="A14" s="75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0">+B14*D14*100</f>
        <v>64.72</v>
      </c>
      <c r="D14" s="9">
        <f>IF(A14=0,0,$C$3+$C$4+$C$5+$C$6+($C$7*($C$10-6)))</f>
        <v>40</v>
      </c>
    </row>
    <row r="15" spans="1:4" ht="16.5" x14ac:dyDescent="0.25">
      <c r="A15" s="75" t="str">
        <f t="shared" ref="A15:A43" si="1">IF(A14=0,0,IF(VALUE(MID(A14,2,2))&gt;=$C$10,0,"L"&amp;VALUE(MID(A14,2,2))+1))</f>
        <v>L3</v>
      </c>
      <c r="B15" s="10">
        <f t="shared" ref="B15:B43" si="2">IF(A15&lt;&gt;0,B14*$C$9,0)</f>
        <v>2.6179240000000003E-2</v>
      </c>
      <c r="C15" s="9">
        <f t="shared" si="0"/>
        <v>91.627340000000018</v>
      </c>
      <c r="D15" s="9">
        <f>IF(A15=0,0,$C$4+$C$5+$C$6+($C$7*($C$10-6)))</f>
        <v>35</v>
      </c>
    </row>
    <row r="16" spans="1:4" ht="16.5" x14ac:dyDescent="0.25">
      <c r="A16" s="75" t="str">
        <f t="shared" si="1"/>
        <v>L4</v>
      </c>
      <c r="B16" s="10">
        <f t="shared" si="2"/>
        <v>4.2358010320000007E-2</v>
      </c>
      <c r="C16" s="9">
        <f t="shared" si="0"/>
        <v>127.07403096000003</v>
      </c>
      <c r="D16" s="9">
        <f>IF(A16=0,0,$C$5+$C$6+($C$7*($C$10-6)))</f>
        <v>30</v>
      </c>
    </row>
    <row r="17" spans="1:4" ht="16.5" x14ac:dyDescent="0.25">
      <c r="A17" s="75" t="str">
        <f t="shared" si="1"/>
        <v>L5</v>
      </c>
      <c r="B17" s="10">
        <f t="shared" si="2"/>
        <v>6.8535260697760017E-2</v>
      </c>
      <c r="C17" s="9">
        <f t="shared" si="0"/>
        <v>171.33815174440002</v>
      </c>
      <c r="D17" s="9">
        <f>IF(A17=0,0,$C$6+($C$7*($C$10-6)))</f>
        <v>25</v>
      </c>
    </row>
    <row r="18" spans="1:4" ht="16.5" x14ac:dyDescent="0.25">
      <c r="A18" s="75" t="str">
        <f t="shared" si="1"/>
        <v>L6</v>
      </c>
      <c r="B18" s="10">
        <f t="shared" si="2"/>
        <v>0.11089005180897571</v>
      </c>
      <c r="C18" s="9">
        <f t="shared" si="0"/>
        <v>221.78010361795143</v>
      </c>
      <c r="D18" s="9">
        <f>IF(A18=0,0,($C$7*($C$10-6)))</f>
        <v>20</v>
      </c>
    </row>
    <row r="19" spans="1:4" ht="16.5" x14ac:dyDescent="0.25">
      <c r="A19" s="75" t="str">
        <f t="shared" si="1"/>
        <v>L7</v>
      </c>
      <c r="B19" s="10">
        <f t="shared" si="2"/>
        <v>0.17942010382692272</v>
      </c>
      <c r="C19" s="9">
        <f t="shared" si="0"/>
        <v>269.13015574038411</v>
      </c>
      <c r="D19" s="9">
        <f>IF(A19=0,0,($C$7*($C$10-7)))</f>
        <v>15</v>
      </c>
    </row>
    <row r="20" spans="1:4" ht="16.5" x14ac:dyDescent="0.25">
      <c r="A20" s="75" t="str">
        <f>IF(A19=0,0,IF(VALUE(MID(A19,2,2))&gt;=$C$10,0,"L"&amp;VALUE(MID(A19,2,2))+1))</f>
        <v>L8</v>
      </c>
      <c r="B20" s="10">
        <f t="shared" si="2"/>
        <v>0.29030172799196097</v>
      </c>
      <c r="C20" s="9">
        <f t="shared" si="0"/>
        <v>290.30172799196095</v>
      </c>
      <c r="D20" s="9">
        <f>IF(A20=0,0,($C$7*($C$10-8)))</f>
        <v>10</v>
      </c>
    </row>
    <row r="21" spans="1:4" ht="16.5" x14ac:dyDescent="0.25">
      <c r="A21" s="75" t="str">
        <f t="shared" si="1"/>
        <v>L9</v>
      </c>
      <c r="B21" s="10">
        <f t="shared" si="2"/>
        <v>0.46970819589099289</v>
      </c>
      <c r="C21" s="9">
        <f t="shared" si="0"/>
        <v>234.85409794549645</v>
      </c>
      <c r="D21" s="9">
        <f>IF(A21=0,0,($C$7*($C$10-9)))</f>
        <v>5</v>
      </c>
    </row>
    <row r="22" spans="1:4" ht="16.5" x14ac:dyDescent="0.25">
      <c r="A22" s="75" t="str">
        <f t="shared" si="1"/>
        <v>L10</v>
      </c>
      <c r="B22" s="10">
        <f t="shared" si="2"/>
        <v>0.75998786095162651</v>
      </c>
      <c r="C22" s="9">
        <f t="shared" si="0"/>
        <v>0</v>
      </c>
      <c r="D22" s="9">
        <f>IF(A22=0,0,($C$7*($C$10-10)))</f>
        <v>0</v>
      </c>
    </row>
    <row r="23" spans="1:4" ht="16.5" x14ac:dyDescent="0.25">
      <c r="A23" s="75">
        <f t="shared" si="1"/>
        <v>0</v>
      </c>
      <c r="B23" s="10">
        <f t="shared" si="2"/>
        <v>0</v>
      </c>
      <c r="C23" s="9">
        <f t="shared" si="0"/>
        <v>0</v>
      </c>
      <c r="D23" s="9">
        <f>IF(A23=0,0,($C$7*($C$10-11)))</f>
        <v>0</v>
      </c>
    </row>
    <row r="24" spans="1:4" ht="16.5" x14ac:dyDescent="0.25">
      <c r="A24" s="75">
        <f t="shared" si="1"/>
        <v>0</v>
      </c>
      <c r="B24" s="10">
        <f t="shared" si="2"/>
        <v>0</v>
      </c>
      <c r="C24" s="9">
        <f t="shared" si="0"/>
        <v>0</v>
      </c>
      <c r="D24" s="9">
        <f>IF(A24=0,0,($C$7*($C$10-12)))</f>
        <v>0</v>
      </c>
    </row>
    <row r="25" spans="1:4" ht="16.5" x14ac:dyDescent="0.25">
      <c r="A25" s="75">
        <f t="shared" si="1"/>
        <v>0</v>
      </c>
      <c r="B25" s="10">
        <f t="shared" si="2"/>
        <v>0</v>
      </c>
      <c r="C25" s="9">
        <f t="shared" si="0"/>
        <v>0</v>
      </c>
      <c r="D25" s="9">
        <f>IF(A25=0,0,($C$7*($C$10-13)))</f>
        <v>0</v>
      </c>
    </row>
    <row r="26" spans="1:4" ht="16.5" x14ac:dyDescent="0.25">
      <c r="A26" s="75">
        <f t="shared" si="1"/>
        <v>0</v>
      </c>
      <c r="B26" s="10">
        <f t="shared" si="2"/>
        <v>0</v>
      </c>
      <c r="C26" s="9">
        <f t="shared" si="0"/>
        <v>0</v>
      </c>
      <c r="D26" s="9">
        <f>IF(A26=0,0,($C$7*($C$10-14)))</f>
        <v>0</v>
      </c>
    </row>
    <row r="27" spans="1:4" ht="16.5" x14ac:dyDescent="0.25">
      <c r="A27" s="75">
        <f t="shared" si="1"/>
        <v>0</v>
      </c>
      <c r="B27" s="10">
        <f t="shared" si="2"/>
        <v>0</v>
      </c>
      <c r="C27" s="9">
        <f t="shared" si="0"/>
        <v>0</v>
      </c>
      <c r="D27" s="9">
        <f>IF(A27=0,0,($C$7*($C$10-15)))</f>
        <v>0</v>
      </c>
    </row>
    <row r="28" spans="1:4" ht="16.5" x14ac:dyDescent="0.25">
      <c r="A28" s="75">
        <f t="shared" si="1"/>
        <v>0</v>
      </c>
      <c r="B28" s="10">
        <f t="shared" si="2"/>
        <v>0</v>
      </c>
      <c r="C28" s="9">
        <f t="shared" si="0"/>
        <v>0</v>
      </c>
      <c r="D28" s="9">
        <f>IF(A28=0,0,($C$7*($C$10-16)))</f>
        <v>0</v>
      </c>
    </row>
    <row r="29" spans="1:4" ht="16.5" x14ac:dyDescent="0.25">
      <c r="A29" s="75">
        <f t="shared" si="1"/>
        <v>0</v>
      </c>
      <c r="B29" s="10">
        <f t="shared" si="2"/>
        <v>0</v>
      </c>
      <c r="C29" s="9">
        <f t="shared" si="0"/>
        <v>0</v>
      </c>
      <c r="D29" s="9">
        <f>IF(A29=0,0,($C$7*($C$10-17)))</f>
        <v>0</v>
      </c>
    </row>
    <row r="30" spans="1:4" ht="16.5" x14ac:dyDescent="0.25">
      <c r="A30" s="75">
        <f t="shared" si="1"/>
        <v>0</v>
      </c>
      <c r="B30" s="10">
        <f t="shared" si="2"/>
        <v>0</v>
      </c>
      <c r="C30" s="9">
        <f t="shared" si="0"/>
        <v>0</v>
      </c>
      <c r="D30" s="9">
        <f>IF(A30=0,0,($C$7*($C$10-18)))</f>
        <v>0</v>
      </c>
    </row>
    <row r="31" spans="1:4" ht="16.5" x14ac:dyDescent="0.25">
      <c r="A31" s="75">
        <f t="shared" si="1"/>
        <v>0</v>
      </c>
      <c r="B31" s="10">
        <f t="shared" si="2"/>
        <v>0</v>
      </c>
      <c r="C31" s="9">
        <f t="shared" si="0"/>
        <v>0</v>
      </c>
      <c r="D31" s="9">
        <f>IF(A31=0,0,($C$7*($C$10-19)))</f>
        <v>0</v>
      </c>
    </row>
    <row r="32" spans="1:4" ht="16.5" x14ac:dyDescent="0.25">
      <c r="A32" s="75">
        <f t="shared" si="1"/>
        <v>0</v>
      </c>
      <c r="B32" s="10">
        <f t="shared" si="2"/>
        <v>0</v>
      </c>
      <c r="C32" s="9">
        <f t="shared" si="0"/>
        <v>0</v>
      </c>
      <c r="D32" s="9">
        <f>IF(A32=0,0,($C$7*($C$10-20)))</f>
        <v>0</v>
      </c>
    </row>
    <row r="33" spans="1:4" ht="16.5" x14ac:dyDescent="0.25">
      <c r="A33" s="75">
        <f t="shared" si="1"/>
        <v>0</v>
      </c>
      <c r="B33" s="10">
        <f t="shared" si="2"/>
        <v>0</v>
      </c>
      <c r="C33" s="9">
        <f t="shared" si="0"/>
        <v>0</v>
      </c>
      <c r="D33" s="9">
        <f t="shared" ref="D33:D43" si="3">IF(A33=0,0,($C$7*($C$10-20)))</f>
        <v>0</v>
      </c>
    </row>
    <row r="34" spans="1:4" ht="16.5" x14ac:dyDescent="0.25">
      <c r="A34" s="75">
        <f t="shared" si="1"/>
        <v>0</v>
      </c>
      <c r="B34" s="10">
        <f t="shared" si="2"/>
        <v>0</v>
      </c>
      <c r="C34" s="9">
        <f t="shared" si="0"/>
        <v>0</v>
      </c>
      <c r="D34" s="9">
        <f t="shared" si="3"/>
        <v>0</v>
      </c>
    </row>
    <row r="35" spans="1:4" ht="16.5" x14ac:dyDescent="0.25">
      <c r="A35" s="75">
        <f t="shared" si="1"/>
        <v>0</v>
      </c>
      <c r="B35" s="10">
        <f t="shared" si="2"/>
        <v>0</v>
      </c>
      <c r="C35" s="9">
        <f t="shared" si="0"/>
        <v>0</v>
      </c>
      <c r="D35" s="9">
        <f t="shared" si="3"/>
        <v>0</v>
      </c>
    </row>
    <row r="36" spans="1:4" ht="16.5" x14ac:dyDescent="0.25">
      <c r="A36" s="75">
        <f t="shared" si="1"/>
        <v>0</v>
      </c>
      <c r="B36" s="10">
        <f t="shared" si="2"/>
        <v>0</v>
      </c>
      <c r="C36" s="9">
        <f t="shared" si="0"/>
        <v>0</v>
      </c>
      <c r="D36" s="9">
        <f t="shared" si="3"/>
        <v>0</v>
      </c>
    </row>
    <row r="37" spans="1:4" ht="16.5" x14ac:dyDescent="0.25">
      <c r="A37" s="75">
        <f t="shared" si="1"/>
        <v>0</v>
      </c>
      <c r="B37" s="10">
        <f t="shared" si="2"/>
        <v>0</v>
      </c>
      <c r="C37" s="9">
        <f t="shared" si="0"/>
        <v>0</v>
      </c>
      <c r="D37" s="9">
        <f t="shared" si="3"/>
        <v>0</v>
      </c>
    </row>
    <row r="38" spans="1:4" ht="16.5" x14ac:dyDescent="0.25">
      <c r="A38" s="75">
        <f t="shared" si="1"/>
        <v>0</v>
      </c>
      <c r="B38" s="10">
        <f t="shared" si="2"/>
        <v>0</v>
      </c>
      <c r="C38" s="9">
        <f t="shared" si="0"/>
        <v>0</v>
      </c>
      <c r="D38" s="9">
        <f t="shared" si="3"/>
        <v>0</v>
      </c>
    </row>
    <row r="39" spans="1:4" ht="16.5" x14ac:dyDescent="0.25">
      <c r="A39" s="75">
        <f t="shared" si="1"/>
        <v>0</v>
      </c>
      <c r="B39" s="10">
        <f t="shared" si="2"/>
        <v>0</v>
      </c>
      <c r="C39" s="9">
        <f t="shared" si="0"/>
        <v>0</v>
      </c>
      <c r="D39" s="9">
        <f t="shared" si="3"/>
        <v>0</v>
      </c>
    </row>
    <row r="40" spans="1:4" ht="16.5" x14ac:dyDescent="0.25">
      <c r="A40" s="75">
        <f t="shared" si="1"/>
        <v>0</v>
      </c>
      <c r="B40" s="10">
        <f t="shared" si="2"/>
        <v>0</v>
      </c>
      <c r="C40" s="9">
        <f t="shared" si="0"/>
        <v>0</v>
      </c>
      <c r="D40" s="9">
        <f t="shared" si="3"/>
        <v>0</v>
      </c>
    </row>
    <row r="41" spans="1:4" ht="16.5" x14ac:dyDescent="0.25">
      <c r="A41" s="75">
        <f t="shared" si="1"/>
        <v>0</v>
      </c>
      <c r="B41" s="10">
        <f t="shared" si="2"/>
        <v>0</v>
      </c>
      <c r="C41" s="9">
        <f t="shared" si="0"/>
        <v>0</v>
      </c>
      <c r="D41" s="9">
        <f t="shared" si="3"/>
        <v>0</v>
      </c>
    </row>
    <row r="42" spans="1:4" ht="16.5" x14ac:dyDescent="0.25">
      <c r="A42" s="75">
        <f t="shared" si="1"/>
        <v>0</v>
      </c>
      <c r="B42" s="10">
        <f t="shared" si="2"/>
        <v>0</v>
      </c>
      <c r="C42" s="9">
        <f t="shared" si="0"/>
        <v>0</v>
      </c>
      <c r="D42" s="9">
        <f t="shared" si="3"/>
        <v>0</v>
      </c>
    </row>
    <row r="43" spans="1:4" ht="17.25" thickBot="1" x14ac:dyDescent="0.3">
      <c r="A43" s="75">
        <f t="shared" si="1"/>
        <v>0</v>
      </c>
      <c r="B43" s="10">
        <f t="shared" si="2"/>
        <v>0</v>
      </c>
      <c r="C43" s="9">
        <f t="shared" si="0"/>
        <v>0</v>
      </c>
      <c r="D43" s="9">
        <f t="shared" si="3"/>
        <v>0</v>
      </c>
    </row>
    <row r="44" spans="1:4" ht="18" thickTop="1" thickBot="1" x14ac:dyDescent="0.25">
      <c r="A44" s="76" t="s">
        <v>12</v>
      </c>
      <c r="B44" s="77"/>
      <c r="C44" s="78">
        <f>SUM(C13:C43)</f>
        <v>1515.8256080001931</v>
      </c>
      <c r="D44" s="79">
        <f>MAX(D13:D43)</f>
        <v>45</v>
      </c>
    </row>
    <row r="45" spans="1:4" ht="13.5" thickTop="1" x14ac:dyDescent="0.2"/>
  </sheetData>
  <protectedRanges>
    <protectedRange sqref="C2:D10" name="DATA_2"/>
  </protectedRanges>
  <mergeCells count="20">
    <mergeCell ref="A4:B4"/>
    <mergeCell ref="C4:D4"/>
    <mergeCell ref="A1:D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44:B44"/>
    <mergeCell ref="A8:B8"/>
    <mergeCell ref="C8:D8"/>
    <mergeCell ref="A9:B9"/>
    <mergeCell ref="C9:D9"/>
    <mergeCell ref="A10:B10"/>
    <mergeCell ref="C10:D10"/>
  </mergeCells>
  <phoneticPr fontId="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1"/>
  <sheetViews>
    <sheetView tabSelected="1" zoomScale="85" zoomScaleNormal="85" workbookViewId="0">
      <selection activeCell="B31" sqref="B31"/>
    </sheetView>
  </sheetViews>
  <sheetFormatPr defaultColWidth="12.5" defaultRowHeight="12.75" x14ac:dyDescent="0.2"/>
  <cols>
    <col min="1" max="1" width="13.75" style="5" customWidth="1"/>
    <col min="2" max="2" width="13.25" style="5" bestFit="1" customWidth="1"/>
    <col min="3" max="16" width="11.25" style="5" customWidth="1"/>
    <col min="17" max="17" width="14" style="5" customWidth="1"/>
    <col min="18" max="18" width="12.875" style="5" customWidth="1"/>
    <col min="19" max="16384" width="12.5" style="5"/>
  </cols>
  <sheetData>
    <row r="1" spans="1:26" s="48" customFormat="1" ht="72" customHeight="1" x14ac:dyDescent="0.2">
      <c r="A1" s="81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6" s="48" customFormat="1" ht="14.25" x14ac:dyDescent="0.2">
      <c r="A2" s="82"/>
    </row>
    <row r="3" spans="1:26" ht="15.75" customHeight="1" x14ac:dyDescent="0.2">
      <c r="A3" s="83" t="s">
        <v>14</v>
      </c>
      <c r="B3" s="102">
        <v>1.6180000000000001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2">
      <c r="A4" s="84" t="s">
        <v>77</v>
      </c>
      <c r="B4" s="85">
        <v>10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spans="1:26" ht="24" customHeight="1" thickBot="1" x14ac:dyDescent="0.25">
      <c r="A5" s="86" t="s">
        <v>16</v>
      </c>
      <c r="B5" s="87">
        <v>20</v>
      </c>
      <c r="C5" s="2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">
      <c r="A6" s="1"/>
      <c r="B6" s="1"/>
      <c r="C6" s="99">
        <v>2200</v>
      </c>
      <c r="D6" s="99">
        <f>C6-B$4</f>
        <v>2190</v>
      </c>
      <c r="E6" s="99">
        <f>D6-$B$4</f>
        <v>2180</v>
      </c>
      <c r="F6" s="99">
        <f t="shared" ref="F6:R6" si="0">E6-$B$4</f>
        <v>2170</v>
      </c>
      <c r="G6" s="99">
        <f t="shared" si="0"/>
        <v>2160</v>
      </c>
      <c r="H6" s="99">
        <f t="shared" si="0"/>
        <v>2150</v>
      </c>
      <c r="I6" s="99">
        <f t="shared" si="0"/>
        <v>2140</v>
      </c>
      <c r="J6" s="99">
        <f t="shared" si="0"/>
        <v>2130</v>
      </c>
      <c r="K6" s="99">
        <f t="shared" si="0"/>
        <v>2120</v>
      </c>
      <c r="L6" s="99">
        <f t="shared" si="0"/>
        <v>2110</v>
      </c>
      <c r="M6" s="99">
        <f t="shared" si="0"/>
        <v>2100</v>
      </c>
      <c r="N6" s="99">
        <f t="shared" si="0"/>
        <v>2090</v>
      </c>
      <c r="O6" s="99">
        <f t="shared" si="0"/>
        <v>2080</v>
      </c>
      <c r="P6" s="99">
        <f t="shared" si="0"/>
        <v>2070</v>
      </c>
      <c r="Q6" s="99">
        <f t="shared" si="0"/>
        <v>2060</v>
      </c>
      <c r="R6" s="99">
        <f t="shared" si="0"/>
        <v>2050</v>
      </c>
      <c r="S6" s="1"/>
      <c r="T6" s="1"/>
      <c r="U6" s="1"/>
      <c r="V6" s="1"/>
      <c r="W6" s="1"/>
      <c r="X6" s="1"/>
      <c r="Y6" s="1"/>
      <c r="Z6" s="1"/>
    </row>
    <row r="7" spans="1:26" ht="24" customHeight="1" x14ac:dyDescent="0.2">
      <c r="A7" s="1"/>
      <c r="B7" s="1"/>
      <c r="C7" s="99">
        <v>0</v>
      </c>
      <c r="D7" s="99">
        <f>$C$6-D6</f>
        <v>10</v>
      </c>
      <c r="E7" s="99">
        <f>$C$6-E6</f>
        <v>20</v>
      </c>
      <c r="F7" s="99">
        <f>$C$6-F6</f>
        <v>30</v>
      </c>
      <c r="G7" s="99">
        <f>$C$6-G6</f>
        <v>40</v>
      </c>
      <c r="H7" s="99">
        <f>$C$6-H6</f>
        <v>50</v>
      </c>
      <c r="I7" s="99">
        <f>$C$6-I6</f>
        <v>60</v>
      </c>
      <c r="J7" s="99">
        <f>$C$6-J6</f>
        <v>70</v>
      </c>
      <c r="K7" s="99">
        <f>$C$6-K6</f>
        <v>80</v>
      </c>
      <c r="L7" s="99">
        <f>$C$6-L6</f>
        <v>90</v>
      </c>
      <c r="M7" s="99">
        <f>$C$6-M6</f>
        <v>100</v>
      </c>
      <c r="N7" s="99">
        <f>$C$6-N6</f>
        <v>110</v>
      </c>
      <c r="O7" s="99">
        <f>$C$6-O6</f>
        <v>120</v>
      </c>
      <c r="P7" s="99">
        <f>$C$6-P6</f>
        <v>130</v>
      </c>
      <c r="Q7" s="99">
        <f>$C$6-Q6</f>
        <v>140</v>
      </c>
      <c r="R7" s="99">
        <f>$C$6-R6</f>
        <v>150</v>
      </c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88" t="s">
        <v>17</v>
      </c>
      <c r="B8" s="88" t="s">
        <v>76</v>
      </c>
      <c r="C8" s="88" t="s">
        <v>19</v>
      </c>
      <c r="D8" s="88" t="s">
        <v>20</v>
      </c>
      <c r="E8" s="88" t="s">
        <v>21</v>
      </c>
      <c r="F8" s="88" t="s">
        <v>22</v>
      </c>
      <c r="G8" s="88" t="s">
        <v>23</v>
      </c>
      <c r="H8" s="88" t="s">
        <v>24</v>
      </c>
      <c r="I8" s="88" t="s">
        <v>25</v>
      </c>
      <c r="J8" s="88" t="s">
        <v>26</v>
      </c>
      <c r="K8" s="88" t="s">
        <v>27</v>
      </c>
      <c r="L8" s="88" t="s">
        <v>28</v>
      </c>
      <c r="M8" s="88" t="s">
        <v>29</v>
      </c>
      <c r="N8" s="88" t="s">
        <v>30</v>
      </c>
      <c r="O8" s="88" t="s">
        <v>31</v>
      </c>
      <c r="P8" s="88" t="s">
        <v>32</v>
      </c>
      <c r="Q8" s="88" t="s">
        <v>33</v>
      </c>
      <c r="R8" s="88" t="s">
        <v>34</v>
      </c>
      <c r="S8" s="1"/>
      <c r="T8" s="1"/>
      <c r="U8" s="1"/>
      <c r="V8" s="1"/>
      <c r="W8" s="1"/>
      <c r="X8" s="1"/>
      <c r="Y8" s="1"/>
      <c r="Z8" s="1"/>
    </row>
    <row r="9" spans="1:26" ht="21" customHeight="1" x14ac:dyDescent="0.2">
      <c r="A9" s="93" t="s">
        <v>75</v>
      </c>
      <c r="B9" s="88" t="s">
        <v>18</v>
      </c>
      <c r="C9" s="88">
        <v>1</v>
      </c>
      <c r="D9" s="88">
        <v>2</v>
      </c>
      <c r="E9" s="88">
        <v>3</v>
      </c>
      <c r="F9" s="88">
        <v>4</v>
      </c>
      <c r="G9" s="88">
        <v>5</v>
      </c>
      <c r="H9" s="88">
        <v>6</v>
      </c>
      <c r="I9" s="88">
        <v>7</v>
      </c>
      <c r="J9" s="88">
        <v>8</v>
      </c>
      <c r="K9" s="88">
        <v>9</v>
      </c>
      <c r="L9" s="88">
        <v>10</v>
      </c>
      <c r="M9" s="88">
        <v>11</v>
      </c>
      <c r="N9" s="88">
        <v>12</v>
      </c>
      <c r="O9" s="88">
        <v>13</v>
      </c>
      <c r="P9" s="88">
        <v>14</v>
      </c>
      <c r="Q9" s="88">
        <v>15</v>
      </c>
      <c r="R9" s="88">
        <v>16</v>
      </c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94">
        <v>1</v>
      </c>
      <c r="B10" s="95">
        <f>'Bảng Input L30'!B13</f>
        <v>0.01</v>
      </c>
      <c r="C10" s="90">
        <f>B10*B5*100</f>
        <v>20</v>
      </c>
      <c r="D10" s="90">
        <f>B10*100*(B5-B4)</f>
        <v>10</v>
      </c>
      <c r="E10" s="90">
        <f t="shared" ref="E10:R10" si="1">$B$10*100*($B$5-$B$4*D9)</f>
        <v>0</v>
      </c>
      <c r="F10" s="90">
        <f t="shared" si="1"/>
        <v>-10</v>
      </c>
      <c r="G10" s="90">
        <f t="shared" si="1"/>
        <v>-20</v>
      </c>
      <c r="H10" s="90">
        <f t="shared" si="1"/>
        <v>-30</v>
      </c>
      <c r="I10" s="90">
        <f t="shared" si="1"/>
        <v>-40</v>
      </c>
      <c r="J10" s="90">
        <f t="shared" si="1"/>
        <v>-50</v>
      </c>
      <c r="K10" s="90">
        <f t="shared" si="1"/>
        <v>-60</v>
      </c>
      <c r="L10" s="90">
        <f t="shared" si="1"/>
        <v>-70</v>
      </c>
      <c r="M10" s="90">
        <f t="shared" si="1"/>
        <v>-80</v>
      </c>
      <c r="N10" s="90">
        <f t="shared" si="1"/>
        <v>-90</v>
      </c>
      <c r="O10" s="90">
        <f t="shared" si="1"/>
        <v>-100</v>
      </c>
      <c r="P10" s="90">
        <f t="shared" si="1"/>
        <v>-110</v>
      </c>
      <c r="Q10" s="90">
        <f t="shared" si="1"/>
        <v>-120</v>
      </c>
      <c r="R10" s="90">
        <f t="shared" si="1"/>
        <v>-130</v>
      </c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94">
        <v>2</v>
      </c>
      <c r="B11" s="89">
        <f t="shared" ref="B11:B25" si="2">B10*$B$3</f>
        <v>1.618E-2</v>
      </c>
      <c r="C11" s="3"/>
      <c r="D11" s="90">
        <f>B11*100*B5</f>
        <v>32.36</v>
      </c>
      <c r="E11" s="90">
        <f>B11*100*(B5-B4)</f>
        <v>16.18</v>
      </c>
      <c r="F11" s="90">
        <f t="shared" ref="F11:R11" si="3">$B$11*100*($B$5-$B$4*D9)</f>
        <v>0</v>
      </c>
      <c r="G11" s="90">
        <f t="shared" si="3"/>
        <v>-16.18</v>
      </c>
      <c r="H11" s="90">
        <f t="shared" si="3"/>
        <v>-32.36</v>
      </c>
      <c r="I11" s="90">
        <f t="shared" si="3"/>
        <v>-48.54</v>
      </c>
      <c r="J11" s="90">
        <f t="shared" si="3"/>
        <v>-64.72</v>
      </c>
      <c r="K11" s="90">
        <f t="shared" si="3"/>
        <v>-80.899999999999991</v>
      </c>
      <c r="L11" s="90">
        <f t="shared" si="3"/>
        <v>-97.08</v>
      </c>
      <c r="M11" s="90">
        <f t="shared" si="3"/>
        <v>-113.25999999999999</v>
      </c>
      <c r="N11" s="90">
        <f t="shared" si="3"/>
        <v>-129.44</v>
      </c>
      <c r="O11" s="90">
        <f t="shared" si="3"/>
        <v>-145.61999999999998</v>
      </c>
      <c r="P11" s="90">
        <f t="shared" si="3"/>
        <v>-161.79999999999998</v>
      </c>
      <c r="Q11" s="90">
        <f t="shared" si="3"/>
        <v>-177.98</v>
      </c>
      <c r="R11" s="90">
        <f t="shared" si="3"/>
        <v>-194.16</v>
      </c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94">
        <v>3</v>
      </c>
      <c r="B12" s="89">
        <f t="shared" si="2"/>
        <v>2.6179240000000003E-2</v>
      </c>
      <c r="C12" s="3"/>
      <c r="D12" s="3"/>
      <c r="E12" s="90">
        <f>B12*100*B5</f>
        <v>52.358480000000007</v>
      </c>
      <c r="F12" s="90">
        <f>B12*100*(B5-B4)</f>
        <v>26.179240000000004</v>
      </c>
      <c r="G12" s="90">
        <f t="shared" ref="G12:R12" si="4">$B$12*100*($B$5-$B$4*D9)</f>
        <v>0</v>
      </c>
      <c r="H12" s="90">
        <f t="shared" si="4"/>
        <v>-26.179240000000004</v>
      </c>
      <c r="I12" s="90">
        <f t="shared" si="4"/>
        <v>-52.358480000000007</v>
      </c>
      <c r="J12" s="90">
        <f t="shared" si="4"/>
        <v>-78.537720000000007</v>
      </c>
      <c r="K12" s="90">
        <f t="shared" si="4"/>
        <v>-104.71696000000001</v>
      </c>
      <c r="L12" s="90">
        <f t="shared" si="4"/>
        <v>-130.89620000000002</v>
      </c>
      <c r="M12" s="90">
        <f t="shared" si="4"/>
        <v>-157.07544000000001</v>
      </c>
      <c r="N12" s="90">
        <f t="shared" si="4"/>
        <v>-183.25468000000004</v>
      </c>
      <c r="O12" s="90">
        <f t="shared" si="4"/>
        <v>-209.43392000000003</v>
      </c>
      <c r="P12" s="90">
        <f t="shared" si="4"/>
        <v>-235.61316000000002</v>
      </c>
      <c r="Q12" s="90">
        <f t="shared" si="4"/>
        <v>-261.79240000000004</v>
      </c>
      <c r="R12" s="90">
        <f t="shared" si="4"/>
        <v>-287.97164000000004</v>
      </c>
      <c r="S12" s="1"/>
      <c r="T12" s="1"/>
      <c r="U12" s="1"/>
      <c r="V12" s="1"/>
      <c r="W12" s="1"/>
      <c r="X12" s="1"/>
      <c r="Y12" s="1"/>
      <c r="Z12" s="1"/>
    </row>
    <row r="13" spans="1:26" ht="15" x14ac:dyDescent="0.2">
      <c r="A13" s="94">
        <v>4</v>
      </c>
      <c r="B13" s="89">
        <f t="shared" si="2"/>
        <v>4.2358010320000007E-2</v>
      </c>
      <c r="C13" s="3"/>
      <c r="D13" s="3"/>
      <c r="E13" s="3"/>
      <c r="F13" s="90">
        <f>B13*100*B5</f>
        <v>84.716020640000011</v>
      </c>
      <c r="G13" s="90">
        <f>B13*100*(B5-B4)</f>
        <v>42.358010320000005</v>
      </c>
      <c r="H13" s="90">
        <f t="shared" ref="H13:R13" si="5">$B$13*100*($B$5-$B$4*D9)</f>
        <v>0</v>
      </c>
      <c r="I13" s="90">
        <f t="shared" si="5"/>
        <v>-42.358010320000005</v>
      </c>
      <c r="J13" s="90">
        <f t="shared" si="5"/>
        <v>-84.716020640000011</v>
      </c>
      <c r="K13" s="90">
        <f t="shared" si="5"/>
        <v>-127.07403096000002</v>
      </c>
      <c r="L13" s="90">
        <f t="shared" si="5"/>
        <v>-169.43204128000002</v>
      </c>
      <c r="M13" s="90">
        <f t="shared" si="5"/>
        <v>-211.79005160000003</v>
      </c>
      <c r="N13" s="90">
        <f t="shared" si="5"/>
        <v>-254.14806192000003</v>
      </c>
      <c r="O13" s="90">
        <f t="shared" si="5"/>
        <v>-296.50607224000004</v>
      </c>
      <c r="P13" s="90">
        <f t="shared" si="5"/>
        <v>-338.86408256000004</v>
      </c>
      <c r="Q13" s="90">
        <f t="shared" si="5"/>
        <v>-381.22209288000005</v>
      </c>
      <c r="R13" s="90">
        <f t="shared" si="5"/>
        <v>-423.58010320000005</v>
      </c>
      <c r="S13" s="1"/>
      <c r="T13" s="1"/>
      <c r="U13" s="1"/>
      <c r="V13" s="1"/>
      <c r="W13" s="1"/>
      <c r="X13" s="1"/>
      <c r="Y13" s="1"/>
      <c r="Z13" s="1"/>
    </row>
    <row r="14" spans="1:26" ht="15" x14ac:dyDescent="0.2">
      <c r="A14" s="94">
        <v>5</v>
      </c>
      <c r="B14" s="89">
        <f t="shared" si="2"/>
        <v>6.8535260697760017E-2</v>
      </c>
      <c r="C14" s="4"/>
      <c r="D14" s="3"/>
      <c r="E14" s="3"/>
      <c r="F14" s="3"/>
      <c r="G14" s="90">
        <f>B14*B5*100</f>
        <v>137.07052139552002</v>
      </c>
      <c r="H14" s="90">
        <f>B14*100*(B5-B4)</f>
        <v>68.535260697760009</v>
      </c>
      <c r="I14" s="90">
        <f t="shared" ref="I14:R14" si="6">$B$14*100*($B$5-$B$4*D9)</f>
        <v>0</v>
      </c>
      <c r="J14" s="90">
        <f t="shared" si="6"/>
        <v>-68.535260697760009</v>
      </c>
      <c r="K14" s="90">
        <f t="shared" si="6"/>
        <v>-137.07052139552002</v>
      </c>
      <c r="L14" s="90">
        <f t="shared" si="6"/>
        <v>-205.60578209328006</v>
      </c>
      <c r="M14" s="90">
        <f t="shared" si="6"/>
        <v>-274.14104279104004</v>
      </c>
      <c r="N14" s="90">
        <f t="shared" si="6"/>
        <v>-342.67630348880004</v>
      </c>
      <c r="O14" s="90">
        <f t="shared" si="6"/>
        <v>-411.21156418656011</v>
      </c>
      <c r="P14" s="90">
        <f t="shared" si="6"/>
        <v>-479.74682488432012</v>
      </c>
      <c r="Q14" s="90">
        <f t="shared" si="6"/>
        <v>-548.28208558208007</v>
      </c>
      <c r="R14" s="90">
        <f t="shared" si="6"/>
        <v>-616.81734627984008</v>
      </c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94">
        <v>6</v>
      </c>
      <c r="B15" s="89">
        <f t="shared" si="2"/>
        <v>0.11089005180897571</v>
      </c>
      <c r="C15" s="3"/>
      <c r="D15" s="3"/>
      <c r="E15" s="3"/>
      <c r="F15" s="3"/>
      <c r="G15" s="3"/>
      <c r="H15" s="90">
        <f>B15*B5*100</f>
        <v>221.78010361795143</v>
      </c>
      <c r="I15" s="90">
        <f>B15*100*(B5-B4)</f>
        <v>110.89005180897571</v>
      </c>
      <c r="J15" s="90">
        <f t="shared" ref="J15:R15" si="7">$B$15*100*($B$5-$B$4*D9)</f>
        <v>0</v>
      </c>
      <c r="K15" s="90">
        <f t="shared" si="7"/>
        <v>-110.89005180897571</v>
      </c>
      <c r="L15" s="90">
        <f t="shared" si="7"/>
        <v>-221.78010361795143</v>
      </c>
      <c r="M15" s="90">
        <f t="shared" si="7"/>
        <v>-332.67015542692712</v>
      </c>
      <c r="N15" s="90">
        <f t="shared" si="7"/>
        <v>-443.56020723590285</v>
      </c>
      <c r="O15" s="90">
        <f t="shared" si="7"/>
        <v>-554.45025904487852</v>
      </c>
      <c r="P15" s="90">
        <f t="shared" si="7"/>
        <v>-665.34031085385425</v>
      </c>
      <c r="Q15" s="90">
        <f t="shared" si="7"/>
        <v>-776.23036266282998</v>
      </c>
      <c r="R15" s="90">
        <f t="shared" si="7"/>
        <v>-887.1204144718057</v>
      </c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94">
        <v>7</v>
      </c>
      <c r="B16" s="89">
        <f t="shared" si="2"/>
        <v>0.17942010382692272</v>
      </c>
      <c r="C16" s="3"/>
      <c r="D16" s="3"/>
      <c r="E16" s="3"/>
      <c r="F16" s="3"/>
      <c r="G16" s="3"/>
      <c r="H16" s="3"/>
      <c r="I16" s="90">
        <f>B5*B16*100</f>
        <v>358.84020765384548</v>
      </c>
      <c r="J16" s="90">
        <f>B16*100*(B5-B4)</f>
        <v>179.42010382692271</v>
      </c>
      <c r="K16" s="90">
        <f t="shared" ref="K16:R16" si="8">$B$16*100*($B$5-$B$4*D9)</f>
        <v>0</v>
      </c>
      <c r="L16" s="90">
        <f t="shared" si="8"/>
        <v>-179.42010382692271</v>
      </c>
      <c r="M16" s="90">
        <f t="shared" si="8"/>
        <v>-358.84020765384543</v>
      </c>
      <c r="N16" s="90">
        <f t="shared" si="8"/>
        <v>-538.26031148076811</v>
      </c>
      <c r="O16" s="90">
        <f t="shared" si="8"/>
        <v>-717.68041530769085</v>
      </c>
      <c r="P16" s="90">
        <f t="shared" si="8"/>
        <v>-897.10051913461348</v>
      </c>
      <c r="Q16" s="90">
        <f t="shared" si="8"/>
        <v>-1076.5206229615362</v>
      </c>
      <c r="R16" s="90">
        <f t="shared" si="8"/>
        <v>-1255.940726788459</v>
      </c>
      <c r="S16" s="1"/>
      <c r="T16" s="1"/>
      <c r="U16" s="1"/>
      <c r="V16" s="1"/>
      <c r="W16" s="1"/>
      <c r="X16" s="1"/>
      <c r="Y16" s="1"/>
      <c r="Z16" s="1"/>
    </row>
    <row r="17" spans="1:26" ht="15" x14ac:dyDescent="0.2">
      <c r="A17" s="94">
        <v>8</v>
      </c>
      <c r="B17" s="89">
        <f t="shared" si="2"/>
        <v>0.29030172799196097</v>
      </c>
      <c r="C17" s="3"/>
      <c r="D17" s="3"/>
      <c r="E17" s="3"/>
      <c r="F17" s="3"/>
      <c r="G17" s="3"/>
      <c r="H17" s="3"/>
      <c r="I17" s="3"/>
      <c r="J17" s="90">
        <f>B5*B17*100</f>
        <v>580.60345598392189</v>
      </c>
      <c r="K17" s="90">
        <f>B17*100*(B5-B4)</f>
        <v>290.301727991961</v>
      </c>
      <c r="L17" s="90">
        <f t="shared" ref="L17:R17" si="9">$B$17*100*($B$5-$B$4*D9)</f>
        <v>0</v>
      </c>
      <c r="M17" s="90">
        <f t="shared" si="9"/>
        <v>-290.301727991961</v>
      </c>
      <c r="N17" s="90">
        <f t="shared" si="9"/>
        <v>-580.603455983922</v>
      </c>
      <c r="O17" s="90">
        <f t="shared" si="9"/>
        <v>-870.90518397588289</v>
      </c>
      <c r="P17" s="90">
        <f t="shared" si="9"/>
        <v>-1161.206911967844</v>
      </c>
      <c r="Q17" s="90">
        <f t="shared" si="9"/>
        <v>-1451.5086399598049</v>
      </c>
      <c r="R17" s="90">
        <f t="shared" si="9"/>
        <v>-1741.8103679517658</v>
      </c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94">
        <v>9</v>
      </c>
      <c r="B18" s="89">
        <f t="shared" si="2"/>
        <v>0.46970819589099289</v>
      </c>
      <c r="C18" s="3"/>
      <c r="D18" s="3"/>
      <c r="E18" s="3"/>
      <c r="F18" s="3"/>
      <c r="G18" s="3"/>
      <c r="H18" s="3"/>
      <c r="I18" s="3"/>
      <c r="J18" s="3"/>
      <c r="K18" s="90">
        <f>B5*B18*100</f>
        <v>939.41639178198579</v>
      </c>
      <c r="L18" s="90">
        <f>B18*100*(B5-B4)</f>
        <v>469.70819589099284</v>
      </c>
      <c r="M18" s="90">
        <f t="shared" ref="M18:R18" si="10">$B$18*100*($B$5-$B$4*D9)</f>
        <v>0</v>
      </c>
      <c r="N18" s="90">
        <f t="shared" si="10"/>
        <v>-469.70819589099284</v>
      </c>
      <c r="O18" s="90">
        <f t="shared" si="10"/>
        <v>-939.41639178198568</v>
      </c>
      <c r="P18" s="90">
        <f t="shared" si="10"/>
        <v>-1409.1245876729786</v>
      </c>
      <c r="Q18" s="90">
        <f t="shared" si="10"/>
        <v>-1878.8327835639714</v>
      </c>
      <c r="R18" s="90">
        <f t="shared" si="10"/>
        <v>-2348.5409794549641</v>
      </c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94">
        <v>10</v>
      </c>
      <c r="B19" s="89">
        <f t="shared" si="2"/>
        <v>0.75998786095162651</v>
      </c>
      <c r="C19" s="3"/>
      <c r="D19" s="3"/>
      <c r="E19" s="3"/>
      <c r="F19" s="3"/>
      <c r="G19" s="3"/>
      <c r="H19" s="3"/>
      <c r="I19" s="3"/>
      <c r="J19" s="3"/>
      <c r="K19" s="3"/>
      <c r="L19" s="90">
        <f>B5*B19*100</f>
        <v>1519.9757219032531</v>
      </c>
      <c r="M19" s="90">
        <f>B19*100*(B5-B4)</f>
        <v>759.98786095162654</v>
      </c>
      <c r="N19" s="90">
        <f>$B$19*100*($B$5-$B$4*D9)</f>
        <v>0</v>
      </c>
      <c r="O19" s="90">
        <f>$B$19*100*($B$5-$B$4*E9)</f>
        <v>-759.98786095162654</v>
      </c>
      <c r="P19" s="90">
        <f>$B$19*100*($B$5-$B$4*F9)</f>
        <v>-1519.9757219032531</v>
      </c>
      <c r="Q19" s="90">
        <f>$B$19*100*($B$5-$B$4*G9)</f>
        <v>-2279.9635828548799</v>
      </c>
      <c r="R19" s="90">
        <f>$B$19*100*($B$5-$B$4*H9)</f>
        <v>-3039.9514438065062</v>
      </c>
      <c r="S19" s="1"/>
      <c r="T19" s="1"/>
      <c r="U19" s="1"/>
      <c r="V19" s="1"/>
      <c r="W19" s="1"/>
      <c r="X19" s="1"/>
      <c r="Y19" s="1"/>
      <c r="Z19" s="1"/>
    </row>
    <row r="20" spans="1:26" ht="15" x14ac:dyDescent="0.2">
      <c r="A20" s="94">
        <v>11</v>
      </c>
      <c r="B20" s="89">
        <f t="shared" si="2"/>
        <v>1.2296603590197317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91">
        <f>B5*B20*100</f>
        <v>2459.3207180394634</v>
      </c>
      <c r="N20" s="91">
        <f>B20*100*(B5-B4)</f>
        <v>1229.6603590197317</v>
      </c>
      <c r="O20" s="91">
        <f>$B$20*100*($B$5-$B$4*D9)</f>
        <v>0</v>
      </c>
      <c r="P20" s="91">
        <f>$B$20*100*($B$5-$B$4*E9)</f>
        <v>-1229.6603590197317</v>
      </c>
      <c r="Q20" s="91">
        <f>$B$20*100*($B$5-$B$4*F9)</f>
        <v>-2459.3207180394634</v>
      </c>
      <c r="R20" s="91">
        <f>$B$20*100*($B$5-$B$4*G9)</f>
        <v>-3688.9810770591953</v>
      </c>
      <c r="S20" s="1"/>
      <c r="T20" s="1"/>
      <c r="U20" s="1"/>
      <c r="V20" s="1"/>
      <c r="W20" s="1"/>
      <c r="X20" s="1"/>
      <c r="Y20" s="1"/>
      <c r="Z20" s="1"/>
    </row>
    <row r="21" spans="1:26" ht="15" x14ac:dyDescent="0.2">
      <c r="A21" s="94">
        <v>12</v>
      </c>
      <c r="B21" s="89">
        <f t="shared" si="2"/>
        <v>1.9895904608939261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91"/>
      <c r="N21" s="91">
        <f>B5*B21*100</f>
        <v>3979.1809217878522</v>
      </c>
      <c r="O21" s="91">
        <f>B21*100*(B5-B4)</f>
        <v>1989.5904608939261</v>
      </c>
      <c r="P21" s="91">
        <f>$B$21*100*($B$5-$B$4*D9)</f>
        <v>0</v>
      </c>
      <c r="Q21" s="91">
        <f>$B$21*100*($B$5-$B$4*E9)</f>
        <v>-1989.5904608939261</v>
      </c>
      <c r="R21" s="91">
        <f>$B$21*100*($B$5-$B$4*F9)</f>
        <v>-3979.1809217878522</v>
      </c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94">
        <v>13</v>
      </c>
      <c r="B22" s="89">
        <f t="shared" si="2"/>
        <v>3.2191573657263728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91"/>
      <c r="N22" s="91"/>
      <c r="O22" s="91">
        <f>B5*B22*100</f>
        <v>6438.3147314527459</v>
      </c>
      <c r="P22" s="91">
        <f>B22*100*(B5-B4)</f>
        <v>3219.157365726373</v>
      </c>
      <c r="Q22" s="91">
        <f>$B$22*100*($B$5-$B$4*D9)</f>
        <v>0</v>
      </c>
      <c r="R22" s="91">
        <f>$B$22*100*($B$5-$B$4*E9)</f>
        <v>-3219.157365726373</v>
      </c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94">
        <v>14</v>
      </c>
      <c r="B23" s="89">
        <f t="shared" si="2"/>
        <v>5.2085966177452718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91"/>
      <c r="N23" s="91"/>
      <c r="O23" s="91"/>
      <c r="P23" s="91">
        <f>B5*B23*100</f>
        <v>10417.193235490544</v>
      </c>
      <c r="Q23" s="91">
        <f>B23*100*(B5-B4)</f>
        <v>5208.5966177452719</v>
      </c>
      <c r="R23" s="91">
        <f>$B$23*100*($B$5-$B$4*D9)</f>
        <v>0</v>
      </c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94">
        <v>15</v>
      </c>
      <c r="B24" s="89">
        <f t="shared" si="2"/>
        <v>8.4275093275118511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91"/>
      <c r="N24" s="91"/>
      <c r="O24" s="91"/>
      <c r="P24" s="91"/>
      <c r="Q24" s="91">
        <f>B5*B24*100</f>
        <v>16855.018655023701</v>
      </c>
      <c r="R24" s="91">
        <f>B23*100*(B5-B4)</f>
        <v>5208.5966177452719</v>
      </c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94">
        <v>16</v>
      </c>
      <c r="B25" s="89">
        <f t="shared" si="2"/>
        <v>13.635710091914175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91"/>
      <c r="N25" s="91"/>
      <c r="O25" s="91"/>
      <c r="P25" s="91"/>
      <c r="Q25" s="91"/>
      <c r="R25" s="91">
        <f>B25*B5*100</f>
        <v>27271.420183828348</v>
      </c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96" t="s">
        <v>51</v>
      </c>
      <c r="B26" s="97"/>
      <c r="C26" s="98">
        <f t="shared" ref="C26:M26" si="11">SUM(C10:C25)</f>
        <v>20</v>
      </c>
      <c r="D26" s="98">
        <f t="shared" si="11"/>
        <v>42.36</v>
      </c>
      <c r="E26" s="98">
        <f t="shared" si="11"/>
        <v>68.538480000000007</v>
      </c>
      <c r="F26" s="98">
        <f t="shared" si="11"/>
        <v>100.89526064000002</v>
      </c>
      <c r="G26" s="98">
        <f t="shared" si="11"/>
        <v>143.24853171552002</v>
      </c>
      <c r="H26" s="98">
        <f t="shared" si="11"/>
        <v>201.77612431571143</v>
      </c>
      <c r="I26" s="98">
        <f t="shared" si="11"/>
        <v>286.4737691428212</v>
      </c>
      <c r="J26" s="98">
        <f t="shared" si="11"/>
        <v>413.51455847308455</v>
      </c>
      <c r="K26" s="98">
        <f t="shared" si="11"/>
        <v>609.06655560945103</v>
      </c>
      <c r="L26" s="98">
        <f t="shared" si="11"/>
        <v>915.46968697609168</v>
      </c>
      <c r="M26" s="98">
        <f t="shared" si="11"/>
        <v>1401.2299535273162</v>
      </c>
      <c r="N26" s="98">
        <f t="shared" ref="N26:R26" si="12">SUM(N10:N25)</f>
        <v>2177.1900648071978</v>
      </c>
      <c r="O26" s="98">
        <f t="shared" si="12"/>
        <v>3422.6935248580476</v>
      </c>
      <c r="P26" s="98">
        <f t="shared" si="12"/>
        <v>5427.9181232203209</v>
      </c>
      <c r="Q26" s="98">
        <f t="shared" si="12"/>
        <v>8662.3715233704806</v>
      </c>
      <c r="R26" s="98">
        <f t="shared" si="12"/>
        <v>10666.80441504686</v>
      </c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1">
    <mergeCell ref="A1:R1"/>
  </mergeCells>
  <phoneticPr fontId="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:H6"/>
  <sheetViews>
    <sheetView topLeftCell="A3" workbookViewId="0">
      <selection activeCell="M10" sqref="M10"/>
    </sheetView>
  </sheetViews>
  <sheetFormatPr defaultColWidth="9.125" defaultRowHeight="14.25" x14ac:dyDescent="0.2"/>
  <cols>
    <col min="1" max="5" width="9.125" style="49"/>
    <col min="6" max="6" width="22.25" style="49" customWidth="1"/>
    <col min="7" max="7" width="22.75" style="49" customWidth="1"/>
    <col min="8" max="8" width="38.5" style="49" customWidth="1"/>
    <col min="9" max="16384" width="9.125" style="49"/>
  </cols>
  <sheetData>
    <row r="4" spans="6:8" ht="25.5" x14ac:dyDescent="0.35">
      <c r="F4" s="92" t="s">
        <v>52</v>
      </c>
      <c r="G4" s="92" t="s">
        <v>53</v>
      </c>
      <c r="H4" s="92" t="s">
        <v>54</v>
      </c>
    </row>
    <row r="5" spans="6:8" x14ac:dyDescent="0.2">
      <c r="F5" s="50">
        <f>SUM('Bảng Input L30'!B13:B43)</f>
        <v>1.9735604514882388</v>
      </c>
      <c r="G5" s="51">
        <f>F5*91</f>
        <v>179.59400108542974</v>
      </c>
      <c r="H5" s="52">
        <f>G5+'Bảng Input L30'!C44</f>
        <v>1695.4196090856228</v>
      </c>
    </row>
    <row r="6" spans="6:8" x14ac:dyDescent="0.2">
      <c r="G6" s="53"/>
      <c r="H6" s="53"/>
    </row>
  </sheetData>
  <phoneticPr fontId="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32"/>
  <sheetViews>
    <sheetView workbookViewId="0">
      <selection activeCell="N29" sqref="N29"/>
    </sheetView>
  </sheetViews>
  <sheetFormatPr defaultColWidth="9.125" defaultRowHeight="14.25" x14ac:dyDescent="0.4"/>
  <cols>
    <col min="1" max="1" width="9.125" style="16"/>
    <col min="2" max="2" width="6" style="16" customWidth="1"/>
    <col min="3" max="4" width="9.125" style="43"/>
    <col min="5" max="5" width="15.5" style="43" bestFit="1" customWidth="1"/>
    <col min="6" max="6" width="9.125" style="43"/>
    <col min="7" max="20" width="9.125" style="16"/>
    <col min="21" max="21" width="10.5" style="16" customWidth="1"/>
    <col min="22" max="16384" width="9.125" style="16"/>
  </cols>
  <sheetData>
    <row r="1" spans="2:23" x14ac:dyDescent="0.4">
      <c r="B1" s="13" t="s">
        <v>58</v>
      </c>
      <c r="C1" s="13"/>
      <c r="D1" s="13"/>
      <c r="E1" s="14" t="s">
        <v>55</v>
      </c>
      <c r="F1" s="15">
        <v>1</v>
      </c>
      <c r="G1" s="15">
        <v>1.6</v>
      </c>
      <c r="H1" s="15">
        <v>1.7</v>
      </c>
    </row>
    <row r="2" spans="2:23" x14ac:dyDescent="0.4">
      <c r="B2" s="13" t="s">
        <v>59</v>
      </c>
      <c r="C2" s="13"/>
      <c r="D2" s="17"/>
      <c r="E2" s="18" t="s">
        <v>15</v>
      </c>
      <c r="F2" s="18"/>
      <c r="G2" s="19"/>
      <c r="H2" s="20">
        <v>5</v>
      </c>
      <c r="I2" s="20">
        <v>5</v>
      </c>
      <c r="J2" s="20">
        <v>5</v>
      </c>
      <c r="K2" s="20">
        <v>5</v>
      </c>
      <c r="L2" s="20">
        <v>5</v>
      </c>
      <c r="M2" s="20">
        <v>5</v>
      </c>
      <c r="N2" s="20">
        <v>5</v>
      </c>
      <c r="O2" s="20">
        <v>3</v>
      </c>
      <c r="P2" s="20">
        <v>3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</row>
    <row r="3" spans="2:23" x14ac:dyDescent="0.4">
      <c r="B3" s="13"/>
      <c r="C3" s="13"/>
      <c r="D3" s="17"/>
      <c r="E3" s="21" t="s">
        <v>56</v>
      </c>
      <c r="F3" s="21"/>
      <c r="G3" s="22"/>
      <c r="H3" s="22">
        <f>H2</f>
        <v>5</v>
      </c>
      <c r="I3" s="22">
        <f>SUM($H$2:I2)</f>
        <v>10</v>
      </c>
      <c r="J3" s="22">
        <f>SUM($H$2:J2)</f>
        <v>15</v>
      </c>
      <c r="K3" s="22">
        <f>SUM($H$2:K2)</f>
        <v>20</v>
      </c>
      <c r="L3" s="22">
        <f>SUM($H$2:L2)</f>
        <v>25</v>
      </c>
      <c r="M3" s="22">
        <f>SUM($H$2:M2)</f>
        <v>30</v>
      </c>
      <c r="N3" s="22">
        <f>SUM($H$2:N2)</f>
        <v>35</v>
      </c>
      <c r="O3" s="22">
        <f>SUM($H$2:O2)</f>
        <v>38</v>
      </c>
      <c r="P3" s="22">
        <f>SUM($H$2:P2)</f>
        <v>41</v>
      </c>
      <c r="Q3" s="22">
        <f>SUM($H$2:Q2)</f>
        <v>42</v>
      </c>
      <c r="R3" s="22">
        <f>SUM($H$2:R2)</f>
        <v>43</v>
      </c>
      <c r="S3" s="22">
        <f>SUM($H$2:S2)</f>
        <v>44</v>
      </c>
      <c r="T3" s="22">
        <f>SUM($H$2:T2)</f>
        <v>45</v>
      </c>
      <c r="U3" s="22">
        <f>SUM($H$2:U2)</f>
        <v>46</v>
      </c>
    </row>
    <row r="4" spans="2:23" ht="15" thickBot="1" x14ac:dyDescent="0.45">
      <c r="B4" s="23" t="s">
        <v>60</v>
      </c>
      <c r="C4" s="23"/>
      <c r="D4" s="24"/>
      <c r="E4" s="25" t="s">
        <v>16</v>
      </c>
      <c r="F4" s="25"/>
      <c r="G4" s="26">
        <v>30</v>
      </c>
      <c r="H4" s="26">
        <v>30</v>
      </c>
      <c r="I4" s="26">
        <v>30</v>
      </c>
      <c r="J4" s="26">
        <v>30</v>
      </c>
      <c r="K4" s="26">
        <v>30</v>
      </c>
      <c r="L4" s="26">
        <v>30</v>
      </c>
      <c r="M4" s="26">
        <v>30</v>
      </c>
      <c r="N4" s="26">
        <v>30</v>
      </c>
      <c r="O4" s="26">
        <v>3</v>
      </c>
      <c r="P4" s="26">
        <v>3</v>
      </c>
      <c r="Q4" s="26">
        <v>1.5</v>
      </c>
      <c r="R4" s="26">
        <v>1.5</v>
      </c>
      <c r="S4" s="26">
        <v>1.5</v>
      </c>
      <c r="T4" s="26">
        <v>1.5</v>
      </c>
      <c r="U4" s="26">
        <v>1.5</v>
      </c>
    </row>
    <row r="5" spans="2:23" ht="15" thickBot="1" x14ac:dyDescent="0.45">
      <c r="B5" s="80" t="s">
        <v>57</v>
      </c>
      <c r="C5" s="27">
        <f>F1</f>
        <v>1</v>
      </c>
      <c r="D5" s="27">
        <f>G1</f>
        <v>1.6</v>
      </c>
      <c r="E5" s="27">
        <f>H1</f>
        <v>1.7</v>
      </c>
      <c r="F5" s="28" t="s">
        <v>18</v>
      </c>
      <c r="G5" s="29" t="s">
        <v>35</v>
      </c>
      <c r="H5" s="29" t="s">
        <v>36</v>
      </c>
      <c r="I5" s="29" t="s">
        <v>37</v>
      </c>
      <c r="J5" s="29" t="s">
        <v>38</v>
      </c>
      <c r="K5" s="29" t="s">
        <v>39</v>
      </c>
      <c r="L5" s="29" t="s">
        <v>40</v>
      </c>
      <c r="M5" s="29" t="s">
        <v>41</v>
      </c>
      <c r="N5" s="29" t="s">
        <v>42</v>
      </c>
      <c r="O5" s="29" t="s">
        <v>43</v>
      </c>
      <c r="P5" s="29" t="s">
        <v>44</v>
      </c>
      <c r="Q5" s="29" t="s">
        <v>45</v>
      </c>
      <c r="R5" s="29" t="s">
        <v>46</v>
      </c>
      <c r="S5" s="29" t="s">
        <v>47</v>
      </c>
      <c r="T5" s="29" t="s">
        <v>48</v>
      </c>
      <c r="U5" s="29" t="s">
        <v>49</v>
      </c>
    </row>
    <row r="6" spans="2:23" x14ac:dyDescent="0.4">
      <c r="B6" s="30" t="s">
        <v>35</v>
      </c>
      <c r="C6" s="31">
        <v>0.01</v>
      </c>
      <c r="D6" s="32">
        <f>C6</f>
        <v>0.01</v>
      </c>
      <c r="E6" s="32">
        <f>C6</f>
        <v>0.01</v>
      </c>
      <c r="F6" s="31">
        <v>0.01</v>
      </c>
      <c r="G6" s="33">
        <f>F6*G4*100</f>
        <v>30</v>
      </c>
      <c r="H6" s="34">
        <f>$F$6*(H4-H3)*100</f>
        <v>25</v>
      </c>
      <c r="I6" s="34">
        <f t="shared" ref="I6:U6" si="0">$F$6*(I4-I3)*100</f>
        <v>20</v>
      </c>
      <c r="J6" s="34">
        <f t="shared" si="0"/>
        <v>15</v>
      </c>
      <c r="K6" s="34">
        <f t="shared" si="0"/>
        <v>10</v>
      </c>
      <c r="L6" s="34">
        <f t="shared" si="0"/>
        <v>5</v>
      </c>
      <c r="M6" s="34">
        <f t="shared" si="0"/>
        <v>0</v>
      </c>
      <c r="N6" s="34">
        <f t="shared" si="0"/>
        <v>-5</v>
      </c>
      <c r="O6" s="34">
        <f t="shared" si="0"/>
        <v>-35</v>
      </c>
      <c r="P6" s="34">
        <f t="shared" si="0"/>
        <v>-38</v>
      </c>
      <c r="Q6" s="34">
        <f t="shared" si="0"/>
        <v>-40.5</v>
      </c>
      <c r="R6" s="34">
        <f t="shared" si="0"/>
        <v>-41.5</v>
      </c>
      <c r="S6" s="34">
        <f t="shared" si="0"/>
        <v>-42.5</v>
      </c>
      <c r="T6" s="34">
        <f t="shared" si="0"/>
        <v>-43.5</v>
      </c>
      <c r="U6" s="35">
        <f t="shared" si="0"/>
        <v>-44.5</v>
      </c>
      <c r="V6" s="36"/>
      <c r="W6" s="36"/>
    </row>
    <row r="7" spans="2:23" x14ac:dyDescent="0.4">
      <c r="B7" s="30" t="s">
        <v>36</v>
      </c>
      <c r="C7" s="32">
        <f>C6*$F$1</f>
        <v>0.01</v>
      </c>
      <c r="D7" s="32">
        <f t="shared" ref="D7:D20" si="1">D6*$G$1</f>
        <v>1.6E-2</v>
      </c>
      <c r="E7" s="32">
        <f t="shared" ref="E7:E20" si="2">E6*$H$1</f>
        <v>1.7000000000000001E-2</v>
      </c>
      <c r="F7" s="32">
        <f>F6*$F$1</f>
        <v>0.01</v>
      </c>
      <c r="G7" s="37"/>
      <c r="H7" s="38">
        <f>F7*H4*100</f>
        <v>30</v>
      </c>
      <c r="I7" s="38">
        <f>$F$7*(I4-(I3-H3))*100</f>
        <v>25</v>
      </c>
      <c r="J7" s="38">
        <f>$F$7*100*(J4-(J3-$H$3))</f>
        <v>20</v>
      </c>
      <c r="K7" s="38">
        <f t="shared" ref="K7:U7" si="3">$F$7*100*(K4-(K3-$H$3))</f>
        <v>15</v>
      </c>
      <c r="L7" s="38">
        <f t="shared" si="3"/>
        <v>10</v>
      </c>
      <c r="M7" s="38">
        <f t="shared" si="3"/>
        <v>5</v>
      </c>
      <c r="N7" s="38">
        <f t="shared" si="3"/>
        <v>0</v>
      </c>
      <c r="O7" s="38">
        <f t="shared" si="3"/>
        <v>-30</v>
      </c>
      <c r="P7" s="38">
        <f t="shared" si="3"/>
        <v>-33</v>
      </c>
      <c r="Q7" s="38">
        <f t="shared" si="3"/>
        <v>-35.5</v>
      </c>
      <c r="R7" s="38">
        <f t="shared" si="3"/>
        <v>-36.5</v>
      </c>
      <c r="S7" s="38">
        <f t="shared" si="3"/>
        <v>-37.5</v>
      </c>
      <c r="T7" s="38">
        <f t="shared" si="3"/>
        <v>-38.5</v>
      </c>
      <c r="U7" s="39">
        <f t="shared" si="3"/>
        <v>-39.5</v>
      </c>
      <c r="V7" s="36"/>
      <c r="W7" s="36"/>
    </row>
    <row r="8" spans="2:23" x14ac:dyDescent="0.4">
      <c r="B8" s="30" t="s">
        <v>37</v>
      </c>
      <c r="C8" s="32">
        <f>C7*$F$1</f>
        <v>0.01</v>
      </c>
      <c r="D8" s="32">
        <f t="shared" si="1"/>
        <v>2.5600000000000001E-2</v>
      </c>
      <c r="E8" s="32">
        <f t="shared" si="2"/>
        <v>2.8900000000000002E-2</v>
      </c>
      <c r="F8" s="32">
        <f>F7*$F$1</f>
        <v>0.01</v>
      </c>
      <c r="G8" s="37"/>
      <c r="H8" s="38"/>
      <c r="I8" s="38">
        <f>F8*I4*100</f>
        <v>30</v>
      </c>
      <c r="J8" s="38">
        <f>$F$8*100*(J4 -(J3-$I$3))</f>
        <v>25</v>
      </c>
      <c r="K8" s="38">
        <f t="shared" ref="K8:U8" si="4">$F$8*100*(K4 -(K3-$I$3))</f>
        <v>20</v>
      </c>
      <c r="L8" s="38">
        <f t="shared" si="4"/>
        <v>15</v>
      </c>
      <c r="M8" s="38">
        <f t="shared" si="4"/>
        <v>10</v>
      </c>
      <c r="N8" s="38">
        <f t="shared" si="4"/>
        <v>5</v>
      </c>
      <c r="O8" s="38">
        <f t="shared" si="4"/>
        <v>-25</v>
      </c>
      <c r="P8" s="38">
        <f t="shared" si="4"/>
        <v>-28</v>
      </c>
      <c r="Q8" s="38">
        <f t="shared" si="4"/>
        <v>-30.5</v>
      </c>
      <c r="R8" s="38">
        <f t="shared" si="4"/>
        <v>-31.5</v>
      </c>
      <c r="S8" s="38">
        <f t="shared" si="4"/>
        <v>-32.5</v>
      </c>
      <c r="T8" s="38">
        <f t="shared" si="4"/>
        <v>-33.5</v>
      </c>
      <c r="U8" s="39">
        <f t="shared" si="4"/>
        <v>-34.5</v>
      </c>
      <c r="V8" s="36"/>
      <c r="W8" s="36"/>
    </row>
    <row r="9" spans="2:23" x14ac:dyDescent="0.4">
      <c r="B9" s="30" t="s">
        <v>38</v>
      </c>
      <c r="C9" s="32">
        <f t="shared" ref="C9:C20" si="5">C8*$F$1</f>
        <v>0.01</v>
      </c>
      <c r="D9" s="32">
        <f t="shared" si="1"/>
        <v>4.0960000000000003E-2</v>
      </c>
      <c r="E9" s="32">
        <f t="shared" si="2"/>
        <v>4.913E-2</v>
      </c>
      <c r="F9" s="32">
        <f t="shared" ref="F9:F13" si="6">F8*$F$1</f>
        <v>0.01</v>
      </c>
      <c r="G9" s="37"/>
      <c r="H9" s="38"/>
      <c r="I9" s="38"/>
      <c r="J9" s="38">
        <f>F9*J4*100</f>
        <v>30</v>
      </c>
      <c r="K9" s="38">
        <f>$F$9*(K4-(K3-$J$3))*100</f>
        <v>25</v>
      </c>
      <c r="L9" s="38">
        <f t="shared" ref="L9:U9" si="7">$F$9*(L4-(L3-$J$3))*100</f>
        <v>20</v>
      </c>
      <c r="M9" s="38">
        <f t="shared" si="7"/>
        <v>15</v>
      </c>
      <c r="N9" s="38">
        <f t="shared" si="7"/>
        <v>10</v>
      </c>
      <c r="O9" s="38">
        <f t="shared" si="7"/>
        <v>-20</v>
      </c>
      <c r="P9" s="38">
        <f t="shared" si="7"/>
        <v>-23</v>
      </c>
      <c r="Q9" s="38">
        <f t="shared" si="7"/>
        <v>-25.5</v>
      </c>
      <c r="R9" s="38">
        <f t="shared" si="7"/>
        <v>-26.5</v>
      </c>
      <c r="S9" s="38">
        <f t="shared" si="7"/>
        <v>-27.500000000000004</v>
      </c>
      <c r="T9" s="38">
        <f t="shared" si="7"/>
        <v>-28.500000000000004</v>
      </c>
      <c r="U9" s="39">
        <f t="shared" si="7"/>
        <v>-29.5</v>
      </c>
      <c r="V9" s="36"/>
      <c r="W9" s="36"/>
    </row>
    <row r="10" spans="2:23" x14ac:dyDescent="0.4">
      <c r="B10" s="30" t="s">
        <v>39</v>
      </c>
      <c r="C10" s="32">
        <f t="shared" si="5"/>
        <v>0.01</v>
      </c>
      <c r="D10" s="32">
        <f t="shared" si="1"/>
        <v>6.5536000000000011E-2</v>
      </c>
      <c r="E10" s="32">
        <f t="shared" si="2"/>
        <v>8.3520999999999998E-2</v>
      </c>
      <c r="F10" s="32">
        <f t="shared" si="6"/>
        <v>0.01</v>
      </c>
      <c r="G10" s="37"/>
      <c r="H10" s="38"/>
      <c r="I10" s="38"/>
      <c r="J10" s="38"/>
      <c r="K10" s="38">
        <f>F10*K4*100</f>
        <v>30</v>
      </c>
      <c r="L10" s="38">
        <f>$F$10*(L4-(L3-$K$3))*100</f>
        <v>25</v>
      </c>
      <c r="M10" s="38">
        <f>$F$10*(M4-(M3-$K$3))*100</f>
        <v>20</v>
      </c>
      <c r="N10" s="38">
        <f t="shared" ref="N10:U10" si="8">$F$10*(N4-(N3-$K$3))*100</f>
        <v>15</v>
      </c>
      <c r="O10" s="38">
        <f t="shared" si="8"/>
        <v>-15</v>
      </c>
      <c r="P10" s="38">
        <f t="shared" si="8"/>
        <v>-18</v>
      </c>
      <c r="Q10" s="38">
        <f t="shared" si="8"/>
        <v>-20.5</v>
      </c>
      <c r="R10" s="38">
        <f t="shared" si="8"/>
        <v>-21.5</v>
      </c>
      <c r="S10" s="38">
        <f t="shared" si="8"/>
        <v>-22.5</v>
      </c>
      <c r="T10" s="38">
        <f t="shared" si="8"/>
        <v>-23.5</v>
      </c>
      <c r="U10" s="39">
        <f t="shared" si="8"/>
        <v>-24.5</v>
      </c>
      <c r="V10" s="36"/>
      <c r="W10" s="36"/>
    </row>
    <row r="11" spans="2:23" x14ac:dyDescent="0.4">
      <c r="B11" s="30" t="s">
        <v>40</v>
      </c>
      <c r="C11" s="32">
        <f t="shared" si="5"/>
        <v>0.01</v>
      </c>
      <c r="D11" s="32">
        <f t="shared" si="1"/>
        <v>0.10485760000000002</v>
      </c>
      <c r="E11" s="32">
        <f t="shared" si="2"/>
        <v>0.14198569999999999</v>
      </c>
      <c r="F11" s="32">
        <f t="shared" si="6"/>
        <v>0.01</v>
      </c>
      <c r="G11" s="37"/>
      <c r="H11" s="38"/>
      <c r="I11" s="38"/>
      <c r="J11" s="38"/>
      <c r="K11" s="38"/>
      <c r="L11" s="38">
        <f>F11*L4*100</f>
        <v>30</v>
      </c>
      <c r="M11" s="38">
        <f>$F$11*(M4-(M3-$L$3))*100</f>
        <v>25</v>
      </c>
      <c r="N11" s="38">
        <f>$F$11*(N4-(N3-$L$3))*100</f>
        <v>20</v>
      </c>
      <c r="O11" s="38">
        <f t="shared" ref="O11:U11" si="9">$F$11*(O4-(O3-$L$3))*100</f>
        <v>-10</v>
      </c>
      <c r="P11" s="38">
        <f t="shared" si="9"/>
        <v>-13</v>
      </c>
      <c r="Q11" s="38">
        <f t="shared" si="9"/>
        <v>-15.5</v>
      </c>
      <c r="R11" s="38">
        <f t="shared" si="9"/>
        <v>-16.5</v>
      </c>
      <c r="S11" s="38">
        <f t="shared" si="9"/>
        <v>-17.5</v>
      </c>
      <c r="T11" s="38">
        <f t="shared" si="9"/>
        <v>-18.5</v>
      </c>
      <c r="U11" s="39">
        <f t="shared" si="9"/>
        <v>-19.5</v>
      </c>
      <c r="V11" s="36"/>
      <c r="W11" s="36"/>
    </row>
    <row r="12" spans="2:23" x14ac:dyDescent="0.4">
      <c r="B12" s="30" t="s">
        <v>41</v>
      </c>
      <c r="C12" s="32">
        <f t="shared" si="5"/>
        <v>0.01</v>
      </c>
      <c r="D12" s="32">
        <f t="shared" si="1"/>
        <v>0.16777216000000006</v>
      </c>
      <c r="E12" s="32">
        <f t="shared" si="2"/>
        <v>0.24137568999999998</v>
      </c>
      <c r="F12" s="32">
        <v>0.01</v>
      </c>
      <c r="G12" s="37"/>
      <c r="H12" s="38"/>
      <c r="I12" s="38"/>
      <c r="J12" s="38"/>
      <c r="K12" s="38"/>
      <c r="L12" s="38"/>
      <c r="M12" s="38">
        <f>F12*M4*100</f>
        <v>30</v>
      </c>
      <c r="N12" s="38">
        <f>$F$12*(N4-(N3-$M$3))*100</f>
        <v>25</v>
      </c>
      <c r="O12" s="38">
        <f>$F$12*(O4-(O3-$M$3))*100</f>
        <v>-5</v>
      </c>
      <c r="P12" s="38">
        <f t="shared" ref="P12:U12" si="10">$F$12*(P4-(P3-$M$3))*100</f>
        <v>-8</v>
      </c>
      <c r="Q12" s="38">
        <f t="shared" si="10"/>
        <v>-10.5</v>
      </c>
      <c r="R12" s="38">
        <f t="shared" si="10"/>
        <v>-11.5</v>
      </c>
      <c r="S12" s="38">
        <f t="shared" si="10"/>
        <v>-12.5</v>
      </c>
      <c r="T12" s="38">
        <f t="shared" si="10"/>
        <v>-13.5</v>
      </c>
      <c r="U12" s="39">
        <f t="shared" si="10"/>
        <v>-14.499999999999998</v>
      </c>
      <c r="V12" s="36"/>
      <c r="W12" s="36"/>
    </row>
    <row r="13" spans="2:23" x14ac:dyDescent="0.4">
      <c r="B13" s="30" t="s">
        <v>42</v>
      </c>
      <c r="C13" s="32">
        <f t="shared" si="5"/>
        <v>0.01</v>
      </c>
      <c r="D13" s="32">
        <f t="shared" si="1"/>
        <v>0.26843545600000013</v>
      </c>
      <c r="E13" s="32">
        <f t="shared" si="2"/>
        <v>0.41033867299999993</v>
      </c>
      <c r="F13" s="32">
        <f t="shared" si="6"/>
        <v>0.01</v>
      </c>
      <c r="G13" s="37"/>
      <c r="H13" s="38"/>
      <c r="I13" s="38"/>
      <c r="J13" s="38"/>
      <c r="K13" s="38"/>
      <c r="L13" s="38"/>
      <c r="M13" s="38"/>
      <c r="N13" s="38">
        <f>F13*N4*100</f>
        <v>30</v>
      </c>
      <c r="O13" s="38">
        <f>$F$13*(O4-(O3-$N$3))*100</f>
        <v>0</v>
      </c>
      <c r="P13" s="38">
        <f>$F$13*(P4-(P3-$N$3))*100</f>
        <v>-3</v>
      </c>
      <c r="Q13" s="38">
        <f t="shared" ref="Q13:U13" si="11">$F$13*(Q4-(Q3-$N$3))*100</f>
        <v>-5.5</v>
      </c>
      <c r="R13" s="38">
        <f t="shared" si="11"/>
        <v>-6.5</v>
      </c>
      <c r="S13" s="38">
        <f t="shared" si="11"/>
        <v>-7.5</v>
      </c>
      <c r="T13" s="38">
        <f t="shared" si="11"/>
        <v>-8.5</v>
      </c>
      <c r="U13" s="39">
        <f t="shared" si="11"/>
        <v>-9.5</v>
      </c>
      <c r="V13" s="36"/>
      <c r="W13" s="36"/>
    </row>
    <row r="14" spans="2:23" x14ac:dyDescent="0.4">
      <c r="B14" s="30" t="s">
        <v>43</v>
      </c>
      <c r="C14" s="32">
        <f t="shared" si="5"/>
        <v>0.01</v>
      </c>
      <c r="D14" s="32">
        <f t="shared" si="1"/>
        <v>0.42949672960000024</v>
      </c>
      <c r="E14" s="32">
        <f t="shared" si="2"/>
        <v>0.69757574409999989</v>
      </c>
      <c r="F14" s="32">
        <v>0.43</v>
      </c>
      <c r="G14" s="37"/>
      <c r="H14" s="38"/>
      <c r="I14" s="38"/>
      <c r="J14" s="38"/>
      <c r="K14" s="38"/>
      <c r="L14" s="38"/>
      <c r="M14" s="38"/>
      <c r="N14" s="38"/>
      <c r="O14" s="38">
        <f>F14*O4*100</f>
        <v>129</v>
      </c>
      <c r="P14" s="38">
        <f>$F$14*(P4-(P3-$O$3))*100</f>
        <v>0</v>
      </c>
      <c r="Q14" s="38">
        <f>$F$14*(Q4-(Q3-$O$3))*100</f>
        <v>-107.5</v>
      </c>
      <c r="R14" s="38">
        <f t="shared" ref="R14:U14" si="12">$F$14*(R4-(R3-$O$3))*100</f>
        <v>-150.5</v>
      </c>
      <c r="S14" s="38">
        <f t="shared" si="12"/>
        <v>-193.5</v>
      </c>
      <c r="T14" s="38">
        <f t="shared" si="12"/>
        <v>-236.49999999999997</v>
      </c>
      <c r="U14" s="39">
        <f t="shared" si="12"/>
        <v>-279.5</v>
      </c>
      <c r="V14" s="36"/>
      <c r="W14" s="36"/>
    </row>
    <row r="15" spans="2:23" ht="14.1" customHeight="1" x14ac:dyDescent="0.4">
      <c r="B15" s="30" t="s">
        <v>44</v>
      </c>
      <c r="C15" s="32">
        <f t="shared" si="5"/>
        <v>0.01</v>
      </c>
      <c r="D15" s="32">
        <f t="shared" si="1"/>
        <v>0.6871947673600004</v>
      </c>
      <c r="E15" s="32">
        <f t="shared" si="2"/>
        <v>1.1858787649699998</v>
      </c>
      <c r="F15" s="32">
        <v>0.69</v>
      </c>
      <c r="G15" s="37"/>
      <c r="H15" s="38"/>
      <c r="I15" s="38"/>
      <c r="J15" s="38"/>
      <c r="K15" s="38"/>
      <c r="L15" s="38"/>
      <c r="M15" s="38"/>
      <c r="N15" s="38"/>
      <c r="O15" s="38"/>
      <c r="P15" s="38">
        <f>F15*P4*100</f>
        <v>206.99999999999997</v>
      </c>
      <c r="Q15" s="38">
        <f>$F$15*(Q4-(Q3-$P$3))*100</f>
        <v>34.5</v>
      </c>
      <c r="R15" s="38">
        <f>$F$15*(R4-(R3-$P$3))*100</f>
        <v>-34.5</v>
      </c>
      <c r="S15" s="38">
        <f t="shared" ref="S15:U15" si="13">$F$15*(S4-(S3-$P$3))*100</f>
        <v>-103.49999999999999</v>
      </c>
      <c r="T15" s="38">
        <f t="shared" si="13"/>
        <v>-172.5</v>
      </c>
      <c r="U15" s="39">
        <f t="shared" si="13"/>
        <v>-241.5</v>
      </c>
      <c r="V15" s="36"/>
      <c r="W15" s="36"/>
    </row>
    <row r="16" spans="2:23" x14ac:dyDescent="0.4">
      <c r="B16" s="30" t="s">
        <v>45</v>
      </c>
      <c r="C16" s="32">
        <f t="shared" si="5"/>
        <v>0.01</v>
      </c>
      <c r="D16" s="32">
        <f t="shared" si="1"/>
        <v>1.0995116277760006</v>
      </c>
      <c r="E16" s="32">
        <f t="shared" si="2"/>
        <v>2.0159939004489997</v>
      </c>
      <c r="F16" s="32">
        <v>1.1000000000000001</v>
      </c>
      <c r="G16" s="37"/>
      <c r="H16" s="38"/>
      <c r="I16" s="38"/>
      <c r="J16" s="38"/>
      <c r="K16" s="38"/>
      <c r="L16" s="38"/>
      <c r="M16" s="38"/>
      <c r="N16" s="38"/>
      <c r="O16" s="38"/>
      <c r="P16" s="38"/>
      <c r="Q16" s="38">
        <f>F16*Q4*100</f>
        <v>165</v>
      </c>
      <c r="R16" s="38">
        <f>$F$16*(R4-(R3-$Q$3))*100</f>
        <v>55.000000000000007</v>
      </c>
      <c r="S16" s="38">
        <f>$F$16*(S4-(S3-$Q$3))*100</f>
        <v>-55.000000000000007</v>
      </c>
      <c r="T16" s="38">
        <f t="shared" ref="T16:U16" si="14">$F$16*(T4-(T3-$Q$3))*100</f>
        <v>-165</v>
      </c>
      <c r="U16" s="39">
        <f t="shared" si="14"/>
        <v>-275</v>
      </c>
      <c r="V16" s="36"/>
      <c r="W16" s="36"/>
    </row>
    <row r="17" spans="2:23" x14ac:dyDescent="0.4">
      <c r="B17" s="30" t="s">
        <v>46</v>
      </c>
      <c r="C17" s="32">
        <f t="shared" si="5"/>
        <v>0.01</v>
      </c>
      <c r="D17" s="32">
        <f t="shared" si="1"/>
        <v>1.7592186044416012</v>
      </c>
      <c r="E17" s="32">
        <f t="shared" si="2"/>
        <v>3.4271896307632996</v>
      </c>
      <c r="F17" s="32">
        <v>1.76</v>
      </c>
      <c r="G17" s="37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>
        <f>F17*R4*100</f>
        <v>264</v>
      </c>
      <c r="S17" s="38">
        <f>$F$17*(S4-(S3-$R$3))*100</f>
        <v>88</v>
      </c>
      <c r="T17" s="38">
        <f>$F$17*(T4-(T3-$R$3))*100</f>
        <v>-88</v>
      </c>
      <c r="U17" s="39">
        <f t="shared" ref="U17" si="15">$F$17*(U4-(U3-$R$3))*100</f>
        <v>-264</v>
      </c>
      <c r="V17" s="36"/>
      <c r="W17" s="36"/>
    </row>
    <row r="18" spans="2:23" x14ac:dyDescent="0.4">
      <c r="B18" s="30" t="s">
        <v>47</v>
      </c>
      <c r="C18" s="32">
        <f t="shared" si="5"/>
        <v>0.01</v>
      </c>
      <c r="D18" s="32">
        <f t="shared" si="1"/>
        <v>2.8147497671065622</v>
      </c>
      <c r="E18" s="32">
        <f t="shared" si="2"/>
        <v>5.8262223722976092</v>
      </c>
      <c r="F18" s="32">
        <v>5.83</v>
      </c>
      <c r="G18" s="37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>
        <f>F18*S4*100</f>
        <v>874.50000000000011</v>
      </c>
      <c r="T18" s="38">
        <f>$F$18*(T4-(T3-$S$3))*100</f>
        <v>291.5</v>
      </c>
      <c r="U18" s="39">
        <f>$F$18*(U4-(U3-$S$3))*100</f>
        <v>-291.5</v>
      </c>
      <c r="V18" s="36"/>
      <c r="W18" s="36"/>
    </row>
    <row r="19" spans="2:23" x14ac:dyDescent="0.4">
      <c r="B19" s="30" t="s">
        <v>48</v>
      </c>
      <c r="C19" s="32">
        <f t="shared" si="5"/>
        <v>0.01</v>
      </c>
      <c r="D19" s="32">
        <f t="shared" si="1"/>
        <v>4.5035996273704999</v>
      </c>
      <c r="E19" s="32">
        <f t="shared" si="2"/>
        <v>9.9045780329059347</v>
      </c>
      <c r="F19" s="32">
        <v>9.9</v>
      </c>
      <c r="G19" s="37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>
        <f>F19*T4*100</f>
        <v>1485.0000000000002</v>
      </c>
      <c r="U19" s="39">
        <f>$F$19*(U4-(U3-$T$3))*100</f>
        <v>495</v>
      </c>
      <c r="V19" s="36"/>
      <c r="W19" s="36"/>
    </row>
    <row r="20" spans="2:23" ht="15" thickBot="1" x14ac:dyDescent="0.45">
      <c r="B20" s="30" t="s">
        <v>49</v>
      </c>
      <c r="C20" s="32">
        <f t="shared" si="5"/>
        <v>0.01</v>
      </c>
      <c r="D20" s="32">
        <f t="shared" si="1"/>
        <v>7.2057594037928006</v>
      </c>
      <c r="E20" s="32">
        <f t="shared" si="2"/>
        <v>16.837782655940089</v>
      </c>
      <c r="F20" s="32">
        <v>16.84</v>
      </c>
      <c r="G20" s="4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>
        <f>F20*U4*100</f>
        <v>2526</v>
      </c>
      <c r="V20" s="36"/>
      <c r="W20" s="36"/>
    </row>
    <row r="21" spans="2:23" ht="15" thickBot="1" x14ac:dyDescent="0.45">
      <c r="B21" s="30" t="s">
        <v>50</v>
      </c>
      <c r="F21" s="44" t="s">
        <v>72</v>
      </c>
      <c r="G21" s="45">
        <f>SUM(G6:G20)</f>
        <v>30</v>
      </c>
      <c r="H21" s="45">
        <f t="shared" ref="H21:U21" si="16">SUM(H6:H20)</f>
        <v>55</v>
      </c>
      <c r="I21" s="45">
        <f t="shared" si="16"/>
        <v>75</v>
      </c>
      <c r="J21" s="45">
        <f t="shared" si="16"/>
        <v>90</v>
      </c>
      <c r="K21" s="45">
        <f t="shared" si="16"/>
        <v>100</v>
      </c>
      <c r="L21" s="45">
        <f t="shared" si="16"/>
        <v>105</v>
      </c>
      <c r="M21" s="45">
        <f t="shared" si="16"/>
        <v>105</v>
      </c>
      <c r="N21" s="45">
        <f t="shared" si="16"/>
        <v>100</v>
      </c>
      <c r="O21" s="45">
        <f t="shared" si="16"/>
        <v>-11</v>
      </c>
      <c r="P21" s="45">
        <f t="shared" si="16"/>
        <v>42.999999999999972</v>
      </c>
      <c r="Q21" s="45">
        <f t="shared" si="16"/>
        <v>-92</v>
      </c>
      <c r="R21" s="45">
        <f t="shared" si="16"/>
        <v>-58</v>
      </c>
      <c r="S21" s="45">
        <f t="shared" si="16"/>
        <v>410.50000000000011</v>
      </c>
      <c r="T21" s="45">
        <f t="shared" si="16"/>
        <v>906.50000000000023</v>
      </c>
      <c r="U21" s="46">
        <f t="shared" si="16"/>
        <v>1453.5</v>
      </c>
      <c r="V21" s="36"/>
      <c r="W21" s="36"/>
    </row>
    <row r="22" spans="2:23" ht="15" thickBot="1" x14ac:dyDescent="0.45">
      <c r="B22" s="30" t="s">
        <v>61</v>
      </c>
      <c r="F22" s="44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spans="2:23" ht="15" thickBot="1" x14ac:dyDescent="0.45">
      <c r="B23" s="30" t="s">
        <v>62</v>
      </c>
      <c r="F23" s="44"/>
      <c r="G23" s="36"/>
    </row>
    <row r="24" spans="2:23" ht="15" thickBot="1" x14ac:dyDescent="0.45">
      <c r="B24" s="30" t="s">
        <v>63</v>
      </c>
      <c r="F24" s="44">
        <f>SUM(F6:F20)</f>
        <v>36.629999999999995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spans="2:23" ht="15" thickBot="1" x14ac:dyDescent="0.45">
      <c r="B25" s="30" t="s">
        <v>64</v>
      </c>
      <c r="F25" s="44"/>
      <c r="G25" s="36"/>
    </row>
    <row r="26" spans="2:23" ht="15" thickBot="1" x14ac:dyDescent="0.45">
      <c r="B26" s="30" t="s">
        <v>65</v>
      </c>
      <c r="F26" s="44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spans="2:23" ht="15" thickBot="1" x14ac:dyDescent="0.45">
      <c r="B27" s="30" t="s">
        <v>66</v>
      </c>
      <c r="F27" s="44"/>
    </row>
    <row r="28" spans="2:23" ht="15" thickBot="1" x14ac:dyDescent="0.45">
      <c r="B28" s="30" t="s">
        <v>67</v>
      </c>
      <c r="F28" s="44"/>
    </row>
    <row r="29" spans="2:23" ht="15" thickBot="1" x14ac:dyDescent="0.45">
      <c r="B29" s="30" t="s">
        <v>68</v>
      </c>
      <c r="F29" s="44"/>
    </row>
    <row r="30" spans="2:23" x14ac:dyDescent="0.4">
      <c r="B30" s="30" t="s">
        <v>69</v>
      </c>
    </row>
    <row r="31" spans="2:23" x14ac:dyDescent="0.4">
      <c r="B31" s="30" t="s">
        <v>70</v>
      </c>
    </row>
    <row r="32" spans="2:23" x14ac:dyDescent="0.4">
      <c r="B32" s="30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Tính TP Sư Huynh</vt:lpstr>
      <vt:lpstr>Tổng lot và ký quỹ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2024-03-25T10:29:19Z</dcterms:modified>
</cp:coreProperties>
</file>