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01_Projects\ScanBinance\bsc_scan_binance\src\main\resources\MQL5\"/>
    </mc:Choice>
  </mc:AlternateContent>
  <xr:revisionPtr revIDLastSave="0" documentId="13_ncr:1_{A6855CC0-1EAA-4EA5-8D05-4C5453BD3C03}" xr6:coauthVersionLast="47" xr6:coauthVersionMax="47" xr10:uidLastSave="{00000000-0000-0000-0000-000000000000}"/>
  <bookViews>
    <workbookView xWindow="3060" yWindow="0" windowWidth="32100" windowHeight="16680" xr2:uid="{00000000-000D-0000-FFFF-FFFF00000000}"/>
  </bookViews>
  <sheets>
    <sheet name="Bảng Input L30" sheetId="2" r:id="rId1"/>
    <sheet name="Thay đổi hệ số quãng" sheetId="10" r:id="rId2"/>
    <sheet name="Sheet1" sheetId="8" r:id="rId3"/>
    <sheet name="Sheet1 (2)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0" l="1"/>
  <c r="I3" i="10"/>
  <c r="I6" i="10" s="1"/>
  <c r="U20" i="10"/>
  <c r="T19" i="10"/>
  <c r="S18" i="10"/>
  <c r="R17" i="10"/>
  <c r="Q16" i="10"/>
  <c r="P15" i="10"/>
  <c r="O14" i="10"/>
  <c r="F13" i="10"/>
  <c r="M12" i="1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F7" i="10"/>
  <c r="F8" i="10" s="1"/>
  <c r="E7" i="10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C7" i="10"/>
  <c r="G6" i="10"/>
  <c r="G22" i="10" s="1"/>
  <c r="E6" i="10"/>
  <c r="D6" i="10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E5" i="10"/>
  <c r="D5" i="10"/>
  <c r="C5" i="10"/>
  <c r="U3" i="10"/>
  <c r="T3" i="10"/>
  <c r="T15" i="10" s="1"/>
  <c r="S3" i="10"/>
  <c r="R3" i="10"/>
  <c r="Q3" i="10"/>
  <c r="P3" i="10"/>
  <c r="P14" i="10" s="1"/>
  <c r="O3" i="10"/>
  <c r="N3" i="10"/>
  <c r="M3" i="10"/>
  <c r="M6" i="10" s="1"/>
  <c r="L3" i="10"/>
  <c r="L6" i="10" s="1"/>
  <c r="K3" i="10"/>
  <c r="K6" i="10" s="1"/>
  <c r="J6" i="10"/>
  <c r="H3" i="10"/>
  <c r="N7" i="10" s="1"/>
  <c r="I7" i="10" l="1"/>
  <c r="N12" i="10"/>
  <c r="Q12" i="10"/>
  <c r="R12" i="10"/>
  <c r="M7" i="10"/>
  <c r="G21" i="10"/>
  <c r="T7" i="10"/>
  <c r="S8" i="10"/>
  <c r="U19" i="10"/>
  <c r="U16" i="10"/>
  <c r="Q7" i="10"/>
  <c r="U14" i="10"/>
  <c r="S16" i="10"/>
  <c r="U7" i="10"/>
  <c r="R13" i="10"/>
  <c r="U17" i="10"/>
  <c r="T17" i="10"/>
  <c r="T16" i="10"/>
  <c r="L8" i="10"/>
  <c r="T8" i="10"/>
  <c r="S12" i="10"/>
  <c r="O13" i="10"/>
  <c r="H6" i="10"/>
  <c r="P6" i="10"/>
  <c r="T6" i="10"/>
  <c r="J7" i="10"/>
  <c r="R7" i="10"/>
  <c r="I8" i="10"/>
  <c r="I22" i="10" s="1"/>
  <c r="Q8" i="10"/>
  <c r="F9" i="10"/>
  <c r="P12" i="10"/>
  <c r="T13" i="10"/>
  <c r="R14" i="10"/>
  <c r="U15" i="10"/>
  <c r="Q6" i="10"/>
  <c r="U6" i="10"/>
  <c r="K7" i="10"/>
  <c r="O7" i="10"/>
  <c r="S7" i="10"/>
  <c r="J8" i="10"/>
  <c r="N8" i="10"/>
  <c r="R8" i="10"/>
  <c r="U12" i="10"/>
  <c r="Q13" i="10"/>
  <c r="U13" i="10"/>
  <c r="S14" i="10"/>
  <c r="R15" i="10"/>
  <c r="R16" i="10"/>
  <c r="S17" i="10"/>
  <c r="U18" i="10"/>
  <c r="O6" i="10"/>
  <c r="S6" i="10"/>
  <c r="P8" i="10"/>
  <c r="O12" i="10"/>
  <c r="S13" i="10"/>
  <c r="Q14" i="10"/>
  <c r="M8" i="10"/>
  <c r="U8" i="10"/>
  <c r="T12" i="10"/>
  <c r="P13" i="10"/>
  <c r="Q15" i="10"/>
  <c r="T18" i="10"/>
  <c r="N6" i="10"/>
  <c r="R6" i="10"/>
  <c r="H7" i="10"/>
  <c r="L7" i="10"/>
  <c r="P7" i="10"/>
  <c r="K8" i="10"/>
  <c r="O8" i="10"/>
  <c r="N13" i="10"/>
  <c r="T14" i="10"/>
  <c r="S15" i="10"/>
  <c r="J21" i="10" l="1"/>
  <c r="I21" i="10"/>
  <c r="H21" i="10"/>
  <c r="H22" i="10"/>
  <c r="S9" i="10"/>
  <c r="O9" i="10"/>
  <c r="K9" i="10"/>
  <c r="U9" i="10"/>
  <c r="M9" i="10"/>
  <c r="P9" i="10"/>
  <c r="R9" i="10"/>
  <c r="N9" i="10"/>
  <c r="J9" i="10"/>
  <c r="J22" i="10" s="1"/>
  <c r="F10" i="10"/>
  <c r="Q9" i="10"/>
  <c r="T9" i="10"/>
  <c r="L9" i="10"/>
  <c r="D3" i="2"/>
  <c r="T10" i="10" l="1"/>
  <c r="P10" i="10"/>
  <c r="L10" i="10"/>
  <c r="N10" i="10"/>
  <c r="U10" i="10"/>
  <c r="Q10" i="10"/>
  <c r="S10" i="10"/>
  <c r="O10" i="10"/>
  <c r="K10" i="10"/>
  <c r="R10" i="10"/>
  <c r="F11" i="10"/>
  <c r="M10" i="10"/>
  <c r="K22" i="10" l="1"/>
  <c r="K21" i="10"/>
  <c r="R11" i="10"/>
  <c r="R22" i="10" s="1"/>
  <c r="N11" i="10"/>
  <c r="N22" i="10" s="1"/>
  <c r="P11" i="10"/>
  <c r="P22" i="10" s="1"/>
  <c r="O11" i="10"/>
  <c r="O22" i="10" s="1"/>
  <c r="U11" i="10"/>
  <c r="U22" i="10" s="1"/>
  <c r="Q11" i="10"/>
  <c r="M11" i="10"/>
  <c r="M22" i="10" s="1"/>
  <c r="T11" i="10"/>
  <c r="T22" i="10" s="1"/>
  <c r="L11" i="10"/>
  <c r="S11" i="10"/>
  <c r="F21" i="10"/>
  <c r="U21" i="10" l="1"/>
  <c r="S22" i="10"/>
  <c r="S21" i="10"/>
  <c r="M21" i="10"/>
  <c r="T21" i="10"/>
  <c r="R21" i="10"/>
  <c r="Q22" i="10"/>
  <c r="Q21" i="10"/>
  <c r="P21" i="10"/>
  <c r="N21" i="10"/>
  <c r="L22" i="10"/>
  <c r="L21" i="10"/>
  <c r="O21" i="10"/>
  <c r="H4" i="2"/>
  <c r="J7" i="2" l="1"/>
  <c r="K7" i="2" s="1"/>
  <c r="J8" i="2" l="1"/>
  <c r="K8" i="2"/>
  <c r="L7" i="2"/>
  <c r="D4" i="2"/>
  <c r="D5" i="2" s="1"/>
  <c r="D6" i="2" s="1"/>
  <c r="D7" i="2" s="1"/>
  <c r="L8" i="2" l="1"/>
  <c r="M7" i="2"/>
  <c r="B13" i="2"/>
  <c r="H11" i="2" l="1"/>
  <c r="N7" i="2"/>
  <c r="M8" i="2"/>
  <c r="A13" i="2"/>
  <c r="A14" i="2" s="1"/>
  <c r="M11" i="2" l="1"/>
  <c r="AA11" i="2"/>
  <c r="Z11" i="2"/>
  <c r="AB11" i="2"/>
  <c r="Y11" i="2"/>
  <c r="N11" i="2"/>
  <c r="I33" i="2"/>
  <c r="R11" i="2"/>
  <c r="I11" i="2"/>
  <c r="U11" i="2"/>
  <c r="S11" i="2"/>
  <c r="O11" i="2"/>
  <c r="J11" i="2"/>
  <c r="T11" i="2"/>
  <c r="H12" i="2"/>
  <c r="P11" i="2"/>
  <c r="Q11" i="2"/>
  <c r="K11" i="2"/>
  <c r="L11" i="2"/>
  <c r="W11" i="2"/>
  <c r="X11" i="2"/>
  <c r="V11" i="2"/>
  <c r="O7" i="2"/>
  <c r="N8" i="2"/>
  <c r="A15" i="2"/>
  <c r="D14" i="2"/>
  <c r="B14" i="2"/>
  <c r="D13" i="2"/>
  <c r="C13" i="2" l="1"/>
  <c r="AA12" i="2"/>
  <c r="Z12" i="2"/>
  <c r="Y12" i="2"/>
  <c r="AB12" i="2"/>
  <c r="I31" i="2"/>
  <c r="I32" i="2"/>
  <c r="R12" i="2"/>
  <c r="X12" i="2"/>
  <c r="L12" i="2"/>
  <c r="M12" i="2"/>
  <c r="Q12" i="2"/>
  <c r="P12" i="2"/>
  <c r="W12" i="2"/>
  <c r="S12" i="2"/>
  <c r="O12" i="2"/>
  <c r="K12" i="2"/>
  <c r="T12" i="2"/>
  <c r="H13" i="2"/>
  <c r="V12" i="2"/>
  <c r="U12" i="2"/>
  <c r="N12" i="2"/>
  <c r="J33" i="2"/>
  <c r="J12" i="2"/>
  <c r="J31" i="2" s="1"/>
  <c r="O8" i="2"/>
  <c r="P7" i="2"/>
  <c r="A16" i="2"/>
  <c r="D15" i="2"/>
  <c r="B15" i="2"/>
  <c r="C14" i="2"/>
  <c r="Z13" i="2" l="1"/>
  <c r="Y13" i="2"/>
  <c r="AA13" i="2"/>
  <c r="AB13" i="2"/>
  <c r="X13" i="2"/>
  <c r="J32" i="2"/>
  <c r="K33" i="2"/>
  <c r="N13" i="2"/>
  <c r="V13" i="2"/>
  <c r="U13" i="2"/>
  <c r="M13" i="2"/>
  <c r="W13" i="2"/>
  <c r="R13" i="2"/>
  <c r="S13" i="2"/>
  <c r="O13" i="2"/>
  <c r="K13" i="2"/>
  <c r="K31" i="2" s="1"/>
  <c r="Q13" i="2"/>
  <c r="T13" i="2"/>
  <c r="P13" i="2"/>
  <c r="H14" i="2"/>
  <c r="L13" i="2"/>
  <c r="P8" i="2"/>
  <c r="Q7" i="2"/>
  <c r="C15" i="2"/>
  <c r="A17" i="2"/>
  <c r="D16" i="2"/>
  <c r="B16" i="2"/>
  <c r="K32" i="2" l="1"/>
  <c r="Z14" i="2"/>
  <c r="Y14" i="2"/>
  <c r="AB14" i="2"/>
  <c r="AA14" i="2"/>
  <c r="T14" i="2"/>
  <c r="S14" i="2"/>
  <c r="V14" i="2"/>
  <c r="O14" i="2"/>
  <c r="L33" i="2"/>
  <c r="H15" i="2"/>
  <c r="W14" i="2"/>
  <c r="U14" i="2"/>
  <c r="L14" i="2"/>
  <c r="X14" i="2"/>
  <c r="R14" i="2"/>
  <c r="N14" i="2"/>
  <c r="Q14" i="2"/>
  <c r="P14" i="2"/>
  <c r="M14" i="2"/>
  <c r="Q8" i="2"/>
  <c r="R7" i="2"/>
  <c r="A18" i="2"/>
  <c r="D17" i="2"/>
  <c r="B17" i="2"/>
  <c r="C16" i="2"/>
  <c r="N15" i="2" l="1"/>
  <c r="Z15" i="2"/>
  <c r="Y15" i="2"/>
  <c r="AA15" i="2"/>
  <c r="AB15" i="2"/>
  <c r="L32" i="2"/>
  <c r="L31" i="2"/>
  <c r="R15" i="2"/>
  <c r="H16" i="2"/>
  <c r="P16" i="2" s="1"/>
  <c r="Q15" i="2"/>
  <c r="V15" i="2"/>
  <c r="M33" i="2"/>
  <c r="U15" i="2"/>
  <c r="X15" i="2"/>
  <c r="M15" i="2"/>
  <c r="M31" i="2" s="1"/>
  <c r="T15" i="2"/>
  <c r="O15" i="2"/>
  <c r="P15" i="2"/>
  <c r="S15" i="2"/>
  <c r="W15" i="2"/>
  <c r="S7" i="2"/>
  <c r="R8" i="2"/>
  <c r="H17" i="2"/>
  <c r="N16" i="2"/>
  <c r="N32" i="2" s="1"/>
  <c r="C17" i="2"/>
  <c r="A19" i="2"/>
  <c r="D18" i="2"/>
  <c r="B18" i="2"/>
  <c r="M32" i="2" l="1"/>
  <c r="V16" i="2"/>
  <c r="Z16" i="2"/>
  <c r="Y16" i="2"/>
  <c r="AB16" i="2"/>
  <c r="AA16" i="2"/>
  <c r="Z17" i="2"/>
  <c r="Y17" i="2"/>
  <c r="AA17" i="2"/>
  <c r="AB17" i="2"/>
  <c r="N31" i="2"/>
  <c r="Q16" i="2"/>
  <c r="T16" i="2"/>
  <c r="U16" i="2"/>
  <c r="N33" i="2"/>
  <c r="S16" i="2"/>
  <c r="X16" i="2"/>
  <c r="R16" i="2"/>
  <c r="W16" i="2"/>
  <c r="O16" i="2"/>
  <c r="S8" i="2"/>
  <c r="T7" i="2"/>
  <c r="Q17" i="2"/>
  <c r="U17" i="2"/>
  <c r="H18" i="2"/>
  <c r="R17" i="2"/>
  <c r="V17" i="2"/>
  <c r="P17" i="2"/>
  <c r="X17" i="2"/>
  <c r="O17" i="2"/>
  <c r="S17" i="2"/>
  <c r="T17" i="2"/>
  <c r="W17" i="2"/>
  <c r="O33" i="2"/>
  <c r="A20" i="2"/>
  <c r="D19" i="2"/>
  <c r="B19" i="2"/>
  <c r="C18" i="2"/>
  <c r="O31" i="2" l="1"/>
  <c r="O32" i="2"/>
  <c r="Z18" i="2"/>
  <c r="Y18" i="2"/>
  <c r="AB18" i="2"/>
  <c r="AA18" i="2"/>
  <c r="T8" i="2"/>
  <c r="U7" i="2"/>
  <c r="S18" i="2"/>
  <c r="W18" i="2"/>
  <c r="P18" i="2"/>
  <c r="T18" i="2"/>
  <c r="X18" i="2"/>
  <c r="V18" i="2"/>
  <c r="R18" i="2"/>
  <c r="Q18" i="2"/>
  <c r="H19" i="2"/>
  <c r="U18" i="2"/>
  <c r="P33" i="2"/>
  <c r="C19" i="2"/>
  <c r="A21" i="2"/>
  <c r="D20" i="2"/>
  <c r="B20" i="2"/>
  <c r="Z19" i="2" l="1"/>
  <c r="Y19" i="2"/>
  <c r="AB19" i="2"/>
  <c r="AA19" i="2"/>
  <c r="P31" i="2"/>
  <c r="P32" i="2"/>
  <c r="V7" i="2"/>
  <c r="U8" i="2"/>
  <c r="R19" i="2"/>
  <c r="V19" i="2"/>
  <c r="S19" i="2"/>
  <c r="W19" i="2"/>
  <c r="U19" i="2"/>
  <c r="H20" i="2"/>
  <c r="X19" i="2"/>
  <c r="T19" i="2"/>
  <c r="Q19" i="2"/>
  <c r="Q33" i="2"/>
  <c r="C20" i="2"/>
  <c r="A22" i="2"/>
  <c r="D21" i="2"/>
  <c r="B21" i="2"/>
  <c r="AB20" i="2" l="1"/>
  <c r="Z20" i="2"/>
  <c r="Y20" i="2"/>
  <c r="AA20" i="2"/>
  <c r="Q31" i="2"/>
  <c r="Q32" i="2"/>
  <c r="W7" i="2"/>
  <c r="V8" i="2"/>
  <c r="R20" i="2"/>
  <c r="V20" i="2"/>
  <c r="S20" i="2"/>
  <c r="W20" i="2"/>
  <c r="U20" i="2"/>
  <c r="T20" i="2"/>
  <c r="X20" i="2"/>
  <c r="H21" i="2"/>
  <c r="R33" i="2"/>
  <c r="C21" i="2"/>
  <c r="A23" i="2"/>
  <c r="D22" i="2"/>
  <c r="B22" i="2"/>
  <c r="R31" i="2" l="1"/>
  <c r="R32" i="2"/>
  <c r="AA21" i="2"/>
  <c r="Z21" i="2"/>
  <c r="AB21" i="2"/>
  <c r="Y21" i="2"/>
  <c r="X7" i="2"/>
  <c r="Y7" i="2" s="1"/>
  <c r="W8" i="2"/>
  <c r="S21" i="2"/>
  <c r="W21" i="2"/>
  <c r="T21" i="2"/>
  <c r="X21" i="2"/>
  <c r="V21" i="2"/>
  <c r="H22" i="2"/>
  <c r="U21" i="2"/>
  <c r="S33" i="2"/>
  <c r="C22" i="2"/>
  <c r="A24" i="2"/>
  <c r="D24" i="2" s="1"/>
  <c r="D23" i="2"/>
  <c r="B23" i="2"/>
  <c r="Z7" i="2" l="1"/>
  <c r="Y8" i="2"/>
  <c r="AA22" i="2"/>
  <c r="Z22" i="2"/>
  <c r="AB22" i="2"/>
  <c r="Y22" i="2"/>
  <c r="S31" i="2"/>
  <c r="S32" i="2"/>
  <c r="X8" i="2"/>
  <c r="U22" i="2"/>
  <c r="H23" i="2"/>
  <c r="V22" i="2"/>
  <c r="X22" i="2"/>
  <c r="W22" i="2"/>
  <c r="T22" i="2"/>
  <c r="T33" i="2"/>
  <c r="C23" i="2"/>
  <c r="A25" i="2"/>
  <c r="D25" i="2" s="1"/>
  <c r="B24" i="2"/>
  <c r="T31" i="2" l="1"/>
  <c r="T32" i="2"/>
  <c r="AB23" i="2"/>
  <c r="AA23" i="2"/>
  <c r="Z23" i="2"/>
  <c r="Y23" i="2"/>
  <c r="Z8" i="2"/>
  <c r="AA7" i="2"/>
  <c r="X23" i="2"/>
  <c r="H24" i="2"/>
  <c r="U23" i="2"/>
  <c r="W23" i="2"/>
  <c r="V23" i="2"/>
  <c r="U33" i="2"/>
  <c r="C24" i="2"/>
  <c r="A26" i="2"/>
  <c r="D26" i="2" s="1"/>
  <c r="B25" i="2"/>
  <c r="AA8" i="2" l="1"/>
  <c r="AB7" i="2"/>
  <c r="AB8" i="2" s="1"/>
  <c r="U31" i="2"/>
  <c r="U32" i="2"/>
  <c r="AA24" i="2"/>
  <c r="Z24" i="2"/>
  <c r="AB24" i="2"/>
  <c r="Y24" i="2"/>
  <c r="X24" i="2"/>
  <c r="H25" i="2"/>
  <c r="W24" i="2"/>
  <c r="V24" i="2"/>
  <c r="V33" i="2"/>
  <c r="C25" i="2"/>
  <c r="A27" i="2"/>
  <c r="D27" i="2" s="1"/>
  <c r="B26" i="2"/>
  <c r="V32" i="2" l="1"/>
  <c r="V31" i="2"/>
  <c r="AB25" i="2"/>
  <c r="AA25" i="2"/>
  <c r="Z25" i="2"/>
  <c r="X25" i="2"/>
  <c r="Y25" i="2"/>
  <c r="H26" i="2"/>
  <c r="W25" i="2"/>
  <c r="W33" i="2"/>
  <c r="C26" i="2"/>
  <c r="A28" i="2"/>
  <c r="D28" i="2" s="1"/>
  <c r="B27" i="2"/>
  <c r="H31" i="2" l="1"/>
  <c r="AA26" i="2"/>
  <c r="Z26" i="2"/>
  <c r="Y26" i="2"/>
  <c r="AB26" i="2"/>
  <c r="H27" i="2"/>
  <c r="W31" i="2"/>
  <c r="W32" i="2"/>
  <c r="X26" i="2"/>
  <c r="X33" i="2"/>
  <c r="C27" i="2"/>
  <c r="A29" i="2"/>
  <c r="D29" i="2" s="1"/>
  <c r="B28" i="2"/>
  <c r="C28" i="2" s="1"/>
  <c r="H28" i="2" l="1"/>
  <c r="Z27" i="2"/>
  <c r="AA27" i="2"/>
  <c r="Y27" i="2"/>
  <c r="AB27" i="2"/>
  <c r="Y33" i="2"/>
  <c r="X32" i="2"/>
  <c r="X31" i="2"/>
  <c r="A30" i="2"/>
  <c r="D30" i="2" s="1"/>
  <c r="B29" i="2"/>
  <c r="Y32" i="2" l="1"/>
  <c r="Y31" i="2"/>
  <c r="H29" i="2"/>
  <c r="AB28" i="2"/>
  <c r="Z28" i="2"/>
  <c r="AA28" i="2"/>
  <c r="Z33" i="2"/>
  <c r="C29" i="2"/>
  <c r="A31" i="2"/>
  <c r="D31" i="2" s="1"/>
  <c r="B30" i="2"/>
  <c r="C30" i="2" s="1"/>
  <c r="H30" i="2" l="1"/>
  <c r="AB29" i="2"/>
  <c r="AA29" i="2"/>
  <c r="AA33" i="2"/>
  <c r="Z32" i="2"/>
  <c r="Z31" i="2"/>
  <c r="A32" i="2"/>
  <c r="D32" i="2" s="1"/>
  <c r="B31" i="2"/>
  <c r="AA31" i="2" l="1"/>
  <c r="AA32" i="2"/>
  <c r="AB30" i="2"/>
  <c r="AB33" i="2"/>
  <c r="C31" i="2"/>
  <c r="A33" i="2"/>
  <c r="D33" i="2" s="1"/>
  <c r="B32" i="2"/>
  <c r="AB32" i="2" l="1"/>
  <c r="AB31" i="2"/>
  <c r="C32" i="2"/>
  <c r="A34" i="2"/>
  <c r="D34" i="2" s="1"/>
  <c r="D35" i="2" s="1"/>
  <c r="B33" i="2"/>
  <c r="C33" i="2" l="1"/>
  <c r="B34" i="2"/>
  <c r="B35" i="2" s="1"/>
  <c r="C34" i="2" l="1"/>
  <c r="C35" i="2" s="1"/>
  <c r="J3" i="2" l="1"/>
  <c r="L3" i="2" s="1"/>
  <c r="N3" i="2" s="1"/>
</calcChain>
</file>

<file path=xl/sharedStrings.xml><?xml version="1.0" encoding="utf-8"?>
<sst xmlns="http://schemas.openxmlformats.org/spreadsheetml/2006/main" count="104" uniqueCount="87">
  <si>
    <t>THÔNG TIN ĐẦU VÀO</t>
  </si>
  <si>
    <t>Quãng giá L1-L2</t>
  </si>
  <si>
    <t>Quãng giá L2-L3</t>
  </si>
  <si>
    <t>Quãng giá L3-L4</t>
  </si>
  <si>
    <t>Quãng giá L4-L5</t>
  </si>
  <si>
    <t>Quãng giá L5-L6</t>
  </si>
  <si>
    <t>Quãng giá L6 trở đi</t>
  </si>
  <si>
    <t>Hệ số lot</t>
  </si>
  <si>
    <t>SỐ L</t>
  </si>
  <si>
    <t>K.LƯỢNG</t>
  </si>
  <si>
    <t>SỐ TIỀN $</t>
  </si>
  <si>
    <t>GIÁ ĐI</t>
  </si>
  <si>
    <t>TỔNG CỘNG:</t>
  </si>
  <si>
    <t>BẢNG TÍNH TP THEO QUÃNG VÀ HỆ SỐ</t>
  </si>
  <si>
    <t>Hệ số nhân</t>
  </si>
  <si>
    <t>TP</t>
  </si>
  <si>
    <t>DCA</t>
  </si>
  <si>
    <t>TP L1</t>
  </si>
  <si>
    <t>TP L2</t>
  </si>
  <si>
    <t>TP L3</t>
  </si>
  <si>
    <t>TP L4</t>
  </si>
  <si>
    <t>TP L5</t>
  </si>
  <si>
    <t>TP L6</t>
  </si>
  <si>
    <t>TP L7</t>
  </si>
  <si>
    <t>TP L8</t>
  </si>
  <si>
    <t>TP L9</t>
  </si>
  <si>
    <t>TP L10</t>
  </si>
  <si>
    <t>TP L11</t>
  </si>
  <si>
    <t>TP L12</t>
  </si>
  <si>
    <t>TP L13</t>
  </si>
  <si>
    <t>TP L14</t>
  </si>
  <si>
    <t>TP L15</t>
  </si>
  <si>
    <t>TP L16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</si>
  <si>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</si>
  <si>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</si>
  <si>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</si>
  <si>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</si>
  <si>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</si>
  <si>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</si>
  <si>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</si>
  <si>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</si>
  <si>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</si>
  <si>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</si>
  <si>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</si>
  <si>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</si>
  <si>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</si>
  <si>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</si>
  <si>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</si>
  <si>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Total</t>
  </si>
  <si>
    <t>Tổng lot</t>
  </si>
  <si>
    <t>Ký quỹ</t>
  </si>
  <si>
    <t>Tổng vốn cần có</t>
  </si>
  <si>
    <t xml:space="preserve">Hệ số </t>
  </si>
  <si>
    <t>L</t>
    <phoneticPr fontId="7"/>
  </si>
  <si>
    <t>Price</t>
    <phoneticPr fontId="7"/>
  </si>
  <si>
    <t>Quãng giá dca</t>
    <phoneticPr fontId="7"/>
  </si>
  <si>
    <t>is_allow_trend_shift</t>
    <phoneticPr fontId="7"/>
  </si>
  <si>
    <t>iStochastic</t>
    <phoneticPr fontId="7"/>
  </si>
  <si>
    <r>
      <t>Không ki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游ゴシック"/>
        <family val="2"/>
        <scheme val="minor"/>
      </rPr>
      <t>m tra</t>
    </r>
    <phoneticPr fontId="7"/>
  </si>
  <si>
    <t>12h</t>
    <phoneticPr fontId="7"/>
  </si>
  <si>
    <t>1h</t>
    <phoneticPr fontId="7"/>
  </si>
  <si>
    <t>109k</t>
    <phoneticPr fontId="7"/>
  </si>
  <si>
    <t>115k</t>
    <phoneticPr fontId="7"/>
  </si>
  <si>
    <t>144k</t>
    <phoneticPr fontId="7"/>
  </si>
  <si>
    <t>110k</t>
    <phoneticPr fontId="7"/>
  </si>
  <si>
    <t>4h</t>
    <phoneticPr fontId="7"/>
  </si>
  <si>
    <t>iStochastic + 1h</t>
    <phoneticPr fontId="7"/>
  </si>
  <si>
    <t>103k</t>
    <phoneticPr fontId="7"/>
  </si>
  <si>
    <t>iStochastic + 4h</t>
    <phoneticPr fontId="7"/>
  </si>
  <si>
    <t>106k</t>
    <phoneticPr fontId="7"/>
  </si>
  <si>
    <t>iStochastic + 8h</t>
    <phoneticPr fontId="7"/>
  </si>
  <si>
    <t>101k</t>
    <phoneticPr fontId="7"/>
  </si>
  <si>
    <r>
      <t>Ch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游ゴシック"/>
        <family val="2"/>
        <scheme val="minor"/>
      </rPr>
      <t>t:</t>
    </r>
    <phoneticPr fontId="7"/>
  </si>
  <si>
    <t>TP</t>
    <phoneticPr fontId="7"/>
  </si>
  <si>
    <t>Khối lượng ban đầu</t>
    <phoneticPr fontId="7"/>
  </si>
  <si>
    <t>Số Lệnh đánh</t>
    <phoneticPr fontId="7"/>
  </si>
  <si>
    <t>TP L17</t>
  </si>
  <si>
    <t>TP L18</t>
  </si>
  <si>
    <t>TP L19</t>
  </si>
  <si>
    <t>TP L20</t>
  </si>
  <si>
    <t>Điền hệ số nhân</t>
  </si>
  <si>
    <t>Điền quãng giá</t>
  </si>
  <si>
    <t>Điền TP</t>
  </si>
  <si>
    <t>Hệ số</t>
  </si>
  <si>
    <t>Vol</t>
  </si>
  <si>
    <t>Gồng</t>
    <phoneticPr fontId="7"/>
  </si>
  <si>
    <t>DCA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</si>
</sst>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_(* #,##0.00_);_(* \(#,##0.00\);_(* &quot;-&quot;??_);_(@_)"/>
    <numFmt numFmtId="177" formatCode="_(* #,##0.0_);_(* \(#,##0.0\);_(* &quot;-&quot;??_);_(@_)"/>
    <numFmt numFmtId="178" formatCode="_(* #,##0_);_(* \(#,##0\);_(* &quot;-&quot;??_);_(@_)"/>
    <numFmt numFmtId="179" formatCode="0;\-0;;\ @"/>
    <numFmt numFmtId="180" formatCode="0.00;\-0.00;;\ @"/>
    <numFmt numFmtId="181" formatCode="#,##0.000"/>
    <numFmt numFmtId="182" formatCode="#,##0.000_);\(#,##0.000\)"/>
    <numFmt numFmtId="183" formatCode="#,##0.0"/>
  </numFmts>
  <fonts count="29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0"/>
      <color rgb="FF000000"/>
      <name val="游ゴシック"/>
      <family val="3"/>
      <charset val="128"/>
      <scheme val="minor"/>
    </font>
    <font>
      <sz val="10"/>
      <color theme="1"/>
      <name val="Arial"/>
      <family val="2"/>
    </font>
    <font>
      <sz val="11"/>
      <color rgb="FF006100"/>
      <name val="游ゴシック"/>
      <family val="2"/>
      <scheme val="minor"/>
    </font>
    <font>
      <sz val="11"/>
      <color rgb="FF9C0006"/>
      <name val="游ゴシック"/>
      <family val="2"/>
      <scheme val="minor"/>
    </font>
    <font>
      <sz val="11"/>
      <color rgb="FF3F3F76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0"/>
      <color rgb="FF000000"/>
      <name val="Arial"/>
      <family val="2"/>
    </font>
    <font>
      <sz val="13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3"/>
      <color rgb="FFFF0000"/>
      <name val="Arial"/>
      <family val="2"/>
    </font>
    <font>
      <sz val="13"/>
      <color rgb="FF002060"/>
      <name val="Arial"/>
      <family val="2"/>
    </font>
    <font>
      <sz val="13"/>
      <color rgb="FFC00000"/>
      <name val="Arial"/>
      <family val="2"/>
    </font>
    <font>
      <i/>
      <sz val="20"/>
      <color rgb="FFFF0000"/>
      <name val="Arial"/>
      <family val="2"/>
    </font>
    <font>
      <i/>
      <sz val="11"/>
      <color theme="1"/>
      <name val="Arial"/>
      <family val="2"/>
    </font>
    <font>
      <sz val="15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20"/>
      <color theme="1"/>
      <name val="Arial"/>
      <family val="2"/>
    </font>
    <font>
      <i/>
      <sz val="16"/>
      <color rgb="FFFF0000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3F3F76"/>
      <name val="Arial"/>
      <family val="2"/>
    </font>
    <font>
      <sz val="11"/>
      <color theme="1"/>
      <name val="Calibri"/>
      <family val="2"/>
      <charset val="163"/>
    </font>
    <font>
      <b/>
      <sz val="12"/>
      <color theme="4" tint="-0.499984740745262"/>
      <name val="Arial"/>
      <family val="2"/>
    </font>
    <font>
      <i/>
      <u/>
      <sz val="11"/>
      <color theme="1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F9EF"/>
        <bgColor rgb="FFE7F9EF"/>
      </patternFill>
    </fill>
    <fill>
      <patternFill patternType="solid">
        <fgColor rgb="FF00B050"/>
        <bgColor rgb="FFFFFF00"/>
      </patternFill>
    </fill>
    <fill>
      <patternFill patternType="solid">
        <fgColor rgb="FFE8E7FC"/>
        <bgColor rgb="FFE8E7F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rgb="FFE7F9E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176" fontId="1" fillId="0" borderId="0" applyFont="0" applyFill="0" applyBorder="0" applyAlignment="0" applyProtection="0"/>
    <xf numFmtId="0" fontId="4" fillId="7" borderId="0" applyNumberFormat="0" applyBorder="0" applyAlignment="0" applyProtection="0"/>
    <xf numFmtId="0" fontId="5" fillId="8" borderId="0" applyNumberFormat="0" applyBorder="0" applyAlignment="0" applyProtection="0"/>
    <xf numFmtId="0" fontId="6" fillId="9" borderId="12" applyNumberFormat="0" applyAlignment="0" applyProtection="0"/>
  </cellStyleXfs>
  <cellXfs count="123">
    <xf numFmtId="0" fontId="0" fillId="0" borderId="0" xfId="0"/>
    <xf numFmtId="0" fontId="3" fillId="0" borderId="0" xfId="2" applyFont="1"/>
    <xf numFmtId="0" fontId="3" fillId="0" borderId="0" xfId="2" applyFont="1" applyAlignment="1">
      <alignment horizontal="right"/>
    </xf>
    <xf numFmtId="3" fontId="3" fillId="0" borderId="11" xfId="2" applyNumberFormat="1" applyFont="1" applyBorder="1"/>
    <xf numFmtId="181" fontId="3" fillId="0" borderId="11" xfId="2" applyNumberFormat="1" applyFont="1" applyBorder="1"/>
    <xf numFmtId="0" fontId="8" fillId="0" borderId="0" xfId="2" applyFont="1"/>
    <xf numFmtId="179" fontId="9" fillId="3" borderId="0" xfId="1" applyNumberFormat="1" applyFont="1" applyFill="1"/>
    <xf numFmtId="180" fontId="9" fillId="3" borderId="0" xfId="1" applyNumberFormat="1" applyFont="1" applyFill="1"/>
    <xf numFmtId="180" fontId="9" fillId="0" borderId="7" xfId="1" applyNumberFormat="1" applyFont="1" applyBorder="1"/>
    <xf numFmtId="179" fontId="9" fillId="0" borderId="8" xfId="1" applyNumberFormat="1" applyFont="1" applyBorder="1"/>
    <xf numFmtId="180" fontId="9" fillId="0" borderId="2" xfId="1" applyNumberFormat="1" applyFont="1" applyBorder="1"/>
    <xf numFmtId="179" fontId="8" fillId="0" borderId="0" xfId="2" applyNumberFormat="1" applyFont="1"/>
    <xf numFmtId="180" fontId="8" fillId="0" borderId="0" xfId="2" applyNumberFormat="1" applyFont="1"/>
    <xf numFmtId="4" fontId="10" fillId="10" borderId="0" xfId="0" applyNumberFormat="1" applyFont="1" applyFill="1" applyAlignment="1">
      <alignment horizontal="center" vertical="center"/>
    </xf>
    <xf numFmtId="4" fontId="10" fillId="12" borderId="11" xfId="0" applyNumberFormat="1" applyFont="1" applyFill="1" applyBorder="1" applyAlignment="1">
      <alignment horizontal="center" vertical="center"/>
    </xf>
    <xf numFmtId="4" fontId="10" fillId="11" borderId="13" xfId="0" applyNumberFormat="1" applyFont="1" applyFill="1" applyBorder="1" applyAlignment="1">
      <alignment horizontal="center" vertical="center"/>
    </xf>
    <xf numFmtId="4" fontId="11" fillId="0" borderId="11" xfId="0" applyNumberFormat="1" applyFont="1" applyBorder="1" applyAlignment="1">
      <alignment horizontal="center" vertical="center"/>
    </xf>
    <xf numFmtId="4" fontId="10" fillId="0" borderId="11" xfId="0" applyNumberFormat="1" applyFont="1" applyBorder="1" applyAlignment="1">
      <alignment horizontal="center" vertical="center"/>
    </xf>
    <xf numFmtId="3" fontId="10" fillId="0" borderId="15" xfId="0" applyNumberFormat="1" applyFont="1" applyBorder="1" applyAlignment="1">
      <alignment horizontal="center" vertical="center"/>
    </xf>
    <xf numFmtId="4" fontId="10" fillId="0" borderId="0" xfId="0" applyNumberFormat="1" applyFont="1" applyAlignment="1">
      <alignment horizontal="center" vertical="center"/>
    </xf>
    <xf numFmtId="0" fontId="10" fillId="0" borderId="0" xfId="2" applyFont="1"/>
    <xf numFmtId="179" fontId="12" fillId="2" borderId="3" xfId="1" applyNumberFormat="1" applyFont="1" applyFill="1" applyBorder="1" applyAlignment="1">
      <alignment horizontal="center" vertical="center"/>
    </xf>
    <xf numFmtId="180" fontId="12" fillId="2" borderId="4" xfId="1" applyNumberFormat="1" applyFont="1" applyFill="1" applyBorder="1" applyAlignment="1">
      <alignment horizontal="center" vertical="center"/>
    </xf>
    <xf numFmtId="179" fontId="12" fillId="2" borderId="5" xfId="1" applyNumberFormat="1" applyFont="1" applyFill="1" applyBorder="1" applyAlignment="1">
      <alignment horizontal="center" vertical="center"/>
    </xf>
    <xf numFmtId="179" fontId="9" fillId="0" borderId="6" xfId="1" applyNumberFormat="1" applyFont="1" applyBorder="1" applyAlignment="1">
      <alignment horizontal="center" vertical="center"/>
    </xf>
    <xf numFmtId="3" fontId="12" fillId="2" borderId="5" xfId="1" applyNumberFormat="1" applyFont="1" applyFill="1" applyBorder="1" applyAlignment="1">
      <alignment vertical="center"/>
    </xf>
    <xf numFmtId="179" fontId="12" fillId="2" borderId="5" xfId="1" applyNumberFormat="1" applyFont="1" applyFill="1" applyBorder="1" applyAlignment="1">
      <alignment vertical="center"/>
    </xf>
    <xf numFmtId="0" fontId="16" fillId="0" borderId="0" xfId="2" applyFont="1"/>
    <xf numFmtId="0" fontId="10" fillId="4" borderId="9" xfId="2" applyFont="1" applyFill="1" applyBorder="1" applyAlignment="1">
      <alignment horizontal="center"/>
    </xf>
    <xf numFmtId="0" fontId="18" fillId="4" borderId="11" xfId="2" applyFont="1" applyFill="1" applyBorder="1" applyAlignment="1">
      <alignment horizontal="center" vertical="center"/>
    </xf>
    <xf numFmtId="4" fontId="18" fillId="0" borderId="11" xfId="2" applyNumberFormat="1" applyFont="1" applyBorder="1" applyAlignment="1">
      <alignment horizontal="center"/>
    </xf>
    <xf numFmtId="3" fontId="18" fillId="0" borderId="11" xfId="2" applyNumberFormat="1" applyFont="1" applyBorder="1" applyAlignment="1">
      <alignment horizontal="right"/>
    </xf>
    <xf numFmtId="3" fontId="18" fillId="0" borderId="11" xfId="2" applyNumberFormat="1" applyFont="1" applyBorder="1"/>
    <xf numFmtId="0" fontId="18" fillId="13" borderId="11" xfId="2" applyFont="1" applyFill="1" applyBorder="1" applyAlignment="1">
      <alignment horizontal="center" vertical="center"/>
    </xf>
    <xf numFmtId="0" fontId="18" fillId="6" borderId="11" xfId="2" applyFont="1" applyFill="1" applyBorder="1" applyAlignment="1">
      <alignment horizontal="center"/>
    </xf>
    <xf numFmtId="4" fontId="18" fillId="5" borderId="11" xfId="2" applyNumberFormat="1" applyFont="1" applyFill="1" applyBorder="1" applyAlignment="1">
      <alignment horizontal="center"/>
    </xf>
    <xf numFmtId="0" fontId="18" fillId="0" borderId="11" xfId="2" applyFont="1" applyBorder="1" applyAlignment="1">
      <alignment horizontal="center"/>
    </xf>
    <xf numFmtId="3" fontId="19" fillId="0" borderId="11" xfId="2" applyNumberFormat="1" applyFont="1" applyBorder="1" applyAlignment="1">
      <alignment horizontal="right"/>
    </xf>
    <xf numFmtId="0" fontId="3" fillId="0" borderId="0" xfId="2" applyFont="1" applyAlignment="1">
      <alignment horizontal="center" vertical="center"/>
    </xf>
    <xf numFmtId="4" fontId="3" fillId="0" borderId="0" xfId="2" applyNumberFormat="1" applyFont="1"/>
    <xf numFmtId="0" fontId="15" fillId="0" borderId="0" xfId="2" applyFont="1" applyAlignment="1">
      <alignment vertical="center"/>
    </xf>
    <xf numFmtId="0" fontId="21" fillId="0" borderId="0" xfId="2" applyFont="1" applyAlignment="1">
      <alignment vertical="center"/>
    </xf>
    <xf numFmtId="4" fontId="18" fillId="15" borderId="11" xfId="2" applyNumberFormat="1" applyFont="1" applyFill="1" applyBorder="1" applyAlignment="1">
      <alignment horizontal="center" vertical="center"/>
    </xf>
    <xf numFmtId="177" fontId="14" fillId="0" borderId="11" xfId="3" applyNumberFormat="1" applyFont="1" applyBorder="1" applyAlignment="1">
      <alignment vertical="center"/>
    </xf>
    <xf numFmtId="176" fontId="14" fillId="0" borderId="11" xfId="3" applyFont="1" applyBorder="1" applyAlignment="1">
      <alignment vertical="center"/>
    </xf>
    <xf numFmtId="182" fontId="14" fillId="2" borderId="11" xfId="3" applyNumberFormat="1" applyFont="1" applyFill="1" applyBorder="1" applyAlignment="1">
      <alignment vertical="center"/>
    </xf>
    <xf numFmtId="0" fontId="13" fillId="0" borderId="20" xfId="1" applyFont="1" applyBorder="1"/>
    <xf numFmtId="0" fontId="13" fillId="0" borderId="21" xfId="1" applyFont="1" applyBorder="1"/>
    <xf numFmtId="179" fontId="8" fillId="0" borderId="19" xfId="2" applyNumberFormat="1" applyFont="1" applyBorder="1"/>
    <xf numFmtId="3" fontId="10" fillId="0" borderId="23" xfId="0" applyNumberFormat="1" applyFont="1" applyBorder="1" applyAlignment="1">
      <alignment horizontal="center" vertical="center"/>
    </xf>
    <xf numFmtId="3" fontId="10" fillId="0" borderId="27" xfId="0" applyNumberFormat="1" applyFont="1" applyBorder="1" applyAlignment="1">
      <alignment horizontal="center" vertical="center"/>
    </xf>
    <xf numFmtId="3" fontId="10" fillId="0" borderId="28" xfId="0" applyNumberFormat="1" applyFont="1" applyBorder="1" applyAlignment="1">
      <alignment horizontal="center" vertical="center"/>
    </xf>
    <xf numFmtId="3" fontId="10" fillId="0" borderId="32" xfId="0" applyNumberFormat="1" applyFont="1" applyBorder="1" applyAlignment="1">
      <alignment horizontal="center" vertical="center"/>
    </xf>
    <xf numFmtId="3" fontId="10" fillId="14" borderId="15" xfId="0" applyNumberFormat="1" applyFont="1" applyFill="1" applyBorder="1" applyAlignment="1">
      <alignment horizontal="center" vertical="center"/>
    </xf>
    <xf numFmtId="3" fontId="10" fillId="14" borderId="31" xfId="0" applyNumberFormat="1" applyFont="1" applyFill="1" applyBorder="1" applyAlignment="1">
      <alignment horizontal="center" vertical="center"/>
    </xf>
    <xf numFmtId="182" fontId="17" fillId="16" borderId="10" xfId="2" applyNumberFormat="1" applyFont="1" applyFill="1" applyBorder="1" applyAlignment="1">
      <alignment horizontal="center" vertical="center"/>
    </xf>
    <xf numFmtId="37" fontId="17" fillId="16" borderId="9" xfId="2" applyNumberFormat="1" applyFont="1" applyFill="1" applyBorder="1" applyAlignment="1">
      <alignment horizontal="center" vertical="center"/>
    </xf>
    <xf numFmtId="177" fontId="14" fillId="2" borderId="11" xfId="3" applyNumberFormat="1" applyFont="1" applyFill="1" applyBorder="1" applyAlignment="1">
      <alignment vertical="center"/>
    </xf>
    <xf numFmtId="178" fontId="14" fillId="2" borderId="11" xfId="3" applyNumberFormat="1" applyFont="1" applyFill="1" applyBorder="1" applyAlignment="1">
      <alignment vertical="center"/>
    </xf>
    <xf numFmtId="4" fontId="12" fillId="2" borderId="3" xfId="1" applyNumberFormat="1" applyFont="1" applyFill="1" applyBorder="1" applyAlignment="1">
      <alignment vertical="center"/>
    </xf>
    <xf numFmtId="3" fontId="26" fillId="0" borderId="11" xfId="2" applyNumberFormat="1" applyFont="1" applyBorder="1" applyAlignment="1">
      <alignment horizontal="right"/>
    </xf>
    <xf numFmtId="0" fontId="10" fillId="0" borderId="0" xfId="0" applyFont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183" fontId="10" fillId="0" borderId="11" xfId="0" applyNumberFormat="1" applyFont="1" applyBorder="1" applyAlignment="1">
      <alignment horizontal="center" vertical="center"/>
    </xf>
    <xf numFmtId="0" fontId="10" fillId="17" borderId="11" xfId="0" applyFont="1" applyFill="1" applyBorder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4" fontId="10" fillId="2" borderId="11" xfId="0" applyNumberFormat="1" applyFont="1" applyFill="1" applyBorder="1" applyAlignment="1">
      <alignment horizontal="center" vertical="center"/>
    </xf>
    <xf numFmtId="4" fontId="11" fillId="0" borderId="22" xfId="0" applyNumberFormat="1" applyFont="1" applyBorder="1" applyAlignment="1">
      <alignment horizontal="center" vertical="center"/>
    </xf>
    <xf numFmtId="4" fontId="10" fillId="3" borderId="11" xfId="0" applyNumberFormat="1" applyFont="1" applyFill="1" applyBorder="1" applyAlignment="1">
      <alignment horizontal="center" vertical="center"/>
    </xf>
    <xf numFmtId="4" fontId="10" fillId="15" borderId="11" xfId="0" applyNumberFormat="1" applyFont="1" applyFill="1" applyBorder="1" applyAlignment="1">
      <alignment horizontal="center" vertical="center"/>
    </xf>
    <xf numFmtId="4" fontId="10" fillId="0" borderId="13" xfId="0" applyNumberFormat="1" applyFont="1" applyBorder="1" applyAlignment="1">
      <alignment horizontal="center" vertical="center"/>
    </xf>
    <xf numFmtId="0" fontId="12" fillId="2" borderId="1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4" fontId="22" fillId="7" borderId="11" xfId="4" applyNumberFormat="1" applyFont="1" applyBorder="1" applyAlignment="1">
      <alignment horizontal="center"/>
    </xf>
    <xf numFmtId="0" fontId="23" fillId="8" borderId="11" xfId="5" applyFont="1" applyBorder="1" applyAlignment="1">
      <alignment horizontal="center"/>
    </xf>
    <xf numFmtId="4" fontId="24" fillId="9" borderId="11" xfId="6" applyNumberFormat="1" applyFont="1" applyBorder="1" applyAlignment="1">
      <alignment horizontal="center"/>
    </xf>
    <xf numFmtId="0" fontId="20" fillId="0" borderId="11" xfId="1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18" borderId="24" xfId="0" applyFont="1" applyFill="1" applyBorder="1" applyAlignment="1">
      <alignment horizontal="center" vertical="center"/>
    </xf>
    <xf numFmtId="0" fontId="11" fillId="18" borderId="25" xfId="0" applyFont="1" applyFill="1" applyBorder="1" applyAlignment="1">
      <alignment horizontal="center" vertical="center"/>
    </xf>
    <xf numFmtId="0" fontId="11" fillId="18" borderId="26" xfId="0" applyFont="1" applyFill="1" applyBorder="1" applyAlignment="1">
      <alignment horizontal="center" vertical="center"/>
    </xf>
    <xf numFmtId="0" fontId="10" fillId="18" borderId="27" xfId="0" applyFont="1" applyFill="1" applyBorder="1" applyAlignment="1">
      <alignment horizontal="center" vertical="center"/>
    </xf>
    <xf numFmtId="0" fontId="11" fillId="18" borderId="15" xfId="0" applyFont="1" applyFill="1" applyBorder="1" applyAlignment="1">
      <alignment horizontal="center" vertical="center"/>
    </xf>
    <xf numFmtId="0" fontId="11" fillId="18" borderId="28" xfId="0" applyFont="1" applyFill="1" applyBorder="1" applyAlignment="1">
      <alignment horizontal="center" vertical="center"/>
    </xf>
    <xf numFmtId="3" fontId="10" fillId="14" borderId="27" xfId="0" applyNumberFormat="1" applyFont="1" applyFill="1" applyBorder="1" applyAlignment="1">
      <alignment horizontal="center" vertical="center"/>
    </xf>
    <xf numFmtId="3" fontId="10" fillId="14" borderId="28" xfId="0" applyNumberFormat="1" applyFont="1" applyFill="1" applyBorder="1" applyAlignment="1">
      <alignment horizontal="center" vertical="center"/>
    </xf>
    <xf numFmtId="3" fontId="10" fillId="0" borderId="33" xfId="0" applyNumberFormat="1" applyFont="1" applyBorder="1" applyAlignment="1">
      <alignment horizontal="center" vertical="center"/>
    </xf>
    <xf numFmtId="3" fontId="10" fillId="0" borderId="34" xfId="0" applyNumberFormat="1" applyFont="1" applyBorder="1" applyAlignment="1">
      <alignment horizontal="center" vertical="center"/>
    </xf>
    <xf numFmtId="3" fontId="10" fillId="0" borderId="31" xfId="0" applyNumberFormat="1" applyFont="1" applyBorder="1" applyAlignment="1">
      <alignment horizontal="center" vertical="center"/>
    </xf>
    <xf numFmtId="3" fontId="10" fillId="0" borderId="35" xfId="0" applyNumberFormat="1" applyFont="1" applyBorder="1" applyAlignment="1">
      <alignment horizontal="center" vertical="center"/>
    </xf>
    <xf numFmtId="3" fontId="10" fillId="0" borderId="36" xfId="0" applyNumberFormat="1" applyFont="1" applyBorder="1" applyAlignment="1">
      <alignment horizontal="center" vertical="center"/>
    </xf>
    <xf numFmtId="3" fontId="10" fillId="0" borderId="37" xfId="0" applyNumberFormat="1" applyFont="1" applyBorder="1" applyAlignment="1">
      <alignment horizontal="center" vertical="center"/>
    </xf>
    <xf numFmtId="0" fontId="11" fillId="19" borderId="24" xfId="0" applyFont="1" applyFill="1" applyBorder="1" applyAlignment="1">
      <alignment horizontal="center" vertical="center"/>
    </xf>
    <xf numFmtId="0" fontId="11" fillId="19" borderId="25" xfId="0" applyFont="1" applyFill="1" applyBorder="1" applyAlignment="1">
      <alignment horizontal="center" vertical="center"/>
    </xf>
    <xf numFmtId="0" fontId="11" fillId="19" borderId="26" xfId="0" applyFont="1" applyFill="1" applyBorder="1" applyAlignment="1">
      <alignment horizontal="center" vertical="center"/>
    </xf>
    <xf numFmtId="0" fontId="11" fillId="19" borderId="27" xfId="0" applyFont="1" applyFill="1" applyBorder="1" applyAlignment="1">
      <alignment horizontal="center" vertical="center"/>
    </xf>
    <xf numFmtId="0" fontId="11" fillId="19" borderId="15" xfId="0" applyFont="1" applyFill="1" applyBorder="1" applyAlignment="1">
      <alignment horizontal="center" vertical="center"/>
    </xf>
    <xf numFmtId="0" fontId="11" fillId="19" borderId="28" xfId="0" applyFont="1" applyFill="1" applyBorder="1" applyAlignment="1">
      <alignment horizontal="center" vertical="center"/>
    </xf>
    <xf numFmtId="0" fontId="11" fillId="20" borderId="24" xfId="0" applyFont="1" applyFill="1" applyBorder="1" applyAlignment="1">
      <alignment horizontal="center" vertical="center"/>
    </xf>
    <xf numFmtId="0" fontId="11" fillId="20" borderId="25" xfId="0" applyFont="1" applyFill="1" applyBorder="1" applyAlignment="1">
      <alignment horizontal="center" vertical="center"/>
    </xf>
    <xf numFmtId="0" fontId="11" fillId="20" borderId="26" xfId="0" applyFont="1" applyFill="1" applyBorder="1" applyAlignment="1">
      <alignment horizontal="center" vertical="center"/>
    </xf>
    <xf numFmtId="0" fontId="11" fillId="20" borderId="27" xfId="0" applyFont="1" applyFill="1" applyBorder="1" applyAlignment="1">
      <alignment horizontal="center" vertical="center"/>
    </xf>
    <xf numFmtId="0" fontId="11" fillId="20" borderId="15" xfId="0" applyFont="1" applyFill="1" applyBorder="1" applyAlignment="1">
      <alignment horizontal="center" vertical="center"/>
    </xf>
    <xf numFmtId="0" fontId="11" fillId="20" borderId="28" xfId="0" applyFont="1" applyFill="1" applyBorder="1" applyAlignment="1">
      <alignment horizontal="center" vertical="center"/>
    </xf>
    <xf numFmtId="3" fontId="10" fillId="14" borderId="32" xfId="0" applyNumberFormat="1" applyFont="1" applyFill="1" applyBorder="1" applyAlignment="1">
      <alignment horizontal="center" vertical="center"/>
    </xf>
    <xf numFmtId="3" fontId="10" fillId="0" borderId="38" xfId="0" applyNumberFormat="1" applyFont="1" applyBorder="1" applyAlignment="1">
      <alignment horizontal="center" vertical="center"/>
    </xf>
    <xf numFmtId="0" fontId="10" fillId="18" borderId="29" xfId="0" applyFont="1" applyFill="1" applyBorder="1" applyAlignment="1">
      <alignment horizontal="center" vertical="center"/>
    </xf>
    <xf numFmtId="0" fontId="11" fillId="18" borderId="16" xfId="0" applyFont="1" applyFill="1" applyBorder="1" applyAlignment="1">
      <alignment horizontal="center" vertical="center"/>
    </xf>
    <xf numFmtId="0" fontId="11" fillId="18" borderId="30" xfId="0" applyFont="1" applyFill="1" applyBorder="1" applyAlignment="1">
      <alignment horizontal="center" vertical="center"/>
    </xf>
    <xf numFmtId="0" fontId="11" fillId="19" borderId="29" xfId="0" applyFont="1" applyFill="1" applyBorder="1" applyAlignment="1">
      <alignment horizontal="center" vertical="center"/>
    </xf>
    <xf numFmtId="0" fontId="11" fillId="19" borderId="16" xfId="0" applyFont="1" applyFill="1" applyBorder="1" applyAlignment="1">
      <alignment horizontal="center" vertical="center"/>
    </xf>
    <xf numFmtId="0" fontId="11" fillId="19" borderId="30" xfId="0" applyFont="1" applyFill="1" applyBorder="1" applyAlignment="1">
      <alignment horizontal="center" vertical="center"/>
    </xf>
    <xf numFmtId="0" fontId="11" fillId="20" borderId="29" xfId="0" applyFont="1" applyFill="1" applyBorder="1" applyAlignment="1">
      <alignment horizontal="center" vertical="center"/>
    </xf>
    <xf numFmtId="0" fontId="11" fillId="20" borderId="16" xfId="0" applyFont="1" applyFill="1" applyBorder="1" applyAlignment="1">
      <alignment horizontal="center" vertical="center"/>
    </xf>
    <xf numFmtId="0" fontId="11" fillId="20" borderId="30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28" fillId="15" borderId="36" xfId="0" applyFont="1" applyFill="1" applyBorder="1" applyAlignment="1">
      <alignment horizontal="center" vertical="center"/>
    </xf>
    <xf numFmtId="0" fontId="28" fillId="15" borderId="37" xfId="0" applyFont="1" applyFill="1" applyBorder="1" applyAlignment="1">
      <alignment horizontal="center" vertical="center"/>
    </xf>
    <xf numFmtId="0" fontId="28" fillId="15" borderId="35" xfId="0" applyFont="1" applyFill="1" applyBorder="1" applyAlignment="1">
      <alignment horizontal="center" vertical="center"/>
    </xf>
  </cellXfs>
  <cellStyles count="7">
    <cellStyle name="Bad" xfId="5" builtinId="27"/>
    <cellStyle name="Comma 2" xfId="3" xr:uid="{00000000-0005-0000-0000-000001000000}"/>
    <cellStyle name="Good" xfId="4" builtinId="26"/>
    <cellStyle name="Input" xfId="6" builtinId="20"/>
    <cellStyle name="Normal" xfId="0" builtinId="0"/>
    <cellStyle name="Normal 2" xfId="1" xr:uid="{00000000-0005-0000-0000-000005000000}"/>
    <cellStyle name="Normal 3" xfId="2" xr:uid="{00000000-0005-0000-0000-000006000000}"/>
  </cellStyles>
  <dxfs count="4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D5A9C3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11</xdr:col>
      <xdr:colOff>238376</xdr:colOff>
      <xdr:row>53</xdr:row>
      <xdr:rowOff>169441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353" y="5827059"/>
          <a:ext cx="6961905" cy="115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22</xdr:col>
      <xdr:colOff>257422</xdr:colOff>
      <xdr:row>53</xdr:row>
      <xdr:rowOff>188489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8235" y="5827059"/>
          <a:ext cx="6980952" cy="1160952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33</xdr:col>
      <xdr:colOff>257423</xdr:colOff>
      <xdr:row>53</xdr:row>
      <xdr:rowOff>159917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64118" y="5827059"/>
          <a:ext cx="6980952" cy="11580952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4</xdr:row>
      <xdr:rowOff>0</xdr:rowOff>
    </xdr:from>
    <xdr:to>
      <xdr:col>44</xdr:col>
      <xdr:colOff>311723</xdr:colOff>
      <xdr:row>53</xdr:row>
      <xdr:rowOff>49640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610618" y="5888182"/>
          <a:ext cx="6961905" cy="11590476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4</xdr:row>
      <xdr:rowOff>0</xdr:rowOff>
    </xdr:from>
    <xdr:to>
      <xdr:col>55</xdr:col>
      <xdr:colOff>311723</xdr:colOff>
      <xdr:row>51</xdr:row>
      <xdr:rowOff>149265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925818" y="5888182"/>
          <a:ext cx="6961905" cy="11219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11</xdr:col>
      <xdr:colOff>311723</xdr:colOff>
      <xdr:row>104</xdr:row>
      <xdr:rowOff>130219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5018" y="18371127"/>
          <a:ext cx="6961905" cy="112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57</xdr:row>
      <xdr:rowOff>0</xdr:rowOff>
    </xdr:from>
    <xdr:to>
      <xdr:col>22</xdr:col>
      <xdr:colOff>321246</xdr:colOff>
      <xdr:row>104</xdr:row>
      <xdr:rowOff>139743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80218" y="18371127"/>
          <a:ext cx="6971428" cy="1120952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57</xdr:row>
      <xdr:rowOff>0</xdr:rowOff>
    </xdr:from>
    <xdr:to>
      <xdr:col>33</xdr:col>
      <xdr:colOff>330770</xdr:colOff>
      <xdr:row>105</xdr:row>
      <xdr:rowOff>218500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295418" y="18371127"/>
          <a:ext cx="6980952" cy="115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665017</xdr:colOff>
      <xdr:row>108</xdr:row>
      <xdr:rowOff>0</xdr:rowOff>
    </xdr:from>
    <xdr:to>
      <xdr:col>33</xdr:col>
      <xdr:colOff>10472</xdr:colOff>
      <xdr:row>157</xdr:row>
      <xdr:rowOff>55418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5017" y="25436945"/>
          <a:ext cx="21291055" cy="11596255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57</xdr:row>
      <xdr:rowOff>0</xdr:rowOff>
    </xdr:from>
    <xdr:to>
      <xdr:col>44</xdr:col>
      <xdr:colOff>330770</xdr:colOff>
      <xdr:row>106</xdr:row>
      <xdr:rowOff>49640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610618" y="13425055"/>
          <a:ext cx="6980952" cy="115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12</xdr:col>
      <xdr:colOff>465828</xdr:colOff>
      <xdr:row>210</xdr:row>
      <xdr:rowOff>50002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" y="29177673"/>
          <a:ext cx="7171428" cy="86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162</xdr:row>
      <xdr:rowOff>0</xdr:rowOff>
    </xdr:from>
    <xdr:to>
      <xdr:col>25</xdr:col>
      <xdr:colOff>475276</xdr:colOff>
      <xdr:row>211</xdr:row>
      <xdr:rowOff>165131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924800" y="29177673"/>
          <a:ext cx="7790476" cy="8990476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162</xdr:row>
      <xdr:rowOff>0</xdr:rowOff>
    </xdr:from>
    <xdr:to>
      <xdr:col>38</xdr:col>
      <xdr:colOff>513371</xdr:colOff>
      <xdr:row>211</xdr:row>
      <xdr:rowOff>31798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849600" y="29177673"/>
          <a:ext cx="7828571" cy="8857143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162</xdr:row>
      <xdr:rowOff>0</xdr:rowOff>
    </xdr:from>
    <xdr:to>
      <xdr:col>51</xdr:col>
      <xdr:colOff>532419</xdr:colOff>
      <xdr:row>211</xdr:row>
      <xdr:rowOff>88941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3774400" y="29177673"/>
          <a:ext cx="7847619" cy="8914286"/>
        </a:xfrm>
        <a:prstGeom prst="rect">
          <a:avLst/>
        </a:prstGeom>
      </xdr:spPr>
    </xdr:pic>
    <xdr:clientData/>
  </xdr:twoCellAnchor>
  <xdr:twoCellAnchor editAs="oneCell">
    <xdr:from>
      <xdr:col>52</xdr:col>
      <xdr:colOff>0</xdr:colOff>
      <xdr:row>162</xdr:row>
      <xdr:rowOff>0</xdr:rowOff>
    </xdr:from>
    <xdr:to>
      <xdr:col>64</xdr:col>
      <xdr:colOff>503848</xdr:colOff>
      <xdr:row>212</xdr:row>
      <xdr:rowOff>80260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1699200" y="29177673"/>
          <a:ext cx="7819048" cy="90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25</xdr:col>
      <xdr:colOff>169600</xdr:colOff>
      <xdr:row>59</xdr:row>
      <xdr:rowOff>78674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14800000" cy="10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601980</xdr:colOff>
      <xdr:row>59</xdr:row>
      <xdr:rowOff>152400</xdr:rowOff>
    </xdr:from>
    <xdr:to>
      <xdr:col>25</xdr:col>
      <xdr:colOff>190551</xdr:colOff>
      <xdr:row>107</xdr:row>
      <xdr:rowOff>31303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980" y="10942320"/>
          <a:ext cx="14828571" cy="8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25</xdr:col>
      <xdr:colOff>283886</xdr:colOff>
      <xdr:row>166</xdr:row>
      <xdr:rowOff>13935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9933920"/>
          <a:ext cx="14914286" cy="104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9"/>
  <sheetViews>
    <sheetView tabSelected="1" zoomScale="85" zoomScaleNormal="85" workbookViewId="0">
      <selection activeCell="S3" sqref="S3"/>
    </sheetView>
  </sheetViews>
  <sheetFormatPr defaultColWidth="9.09765625" defaultRowHeight="13.2" x14ac:dyDescent="0.25"/>
  <cols>
    <col min="1" max="1" width="14.69921875" style="11" customWidth="1"/>
    <col min="2" max="2" width="14.69921875" style="12" customWidth="1"/>
    <col min="3" max="4" width="14.69921875" style="11" customWidth="1"/>
    <col min="5" max="6" width="9.09765625" style="5"/>
    <col min="7" max="7" width="19" style="5" customWidth="1"/>
    <col min="8" max="17" width="10.59765625" style="5" customWidth="1"/>
    <col min="18" max="20" width="8.09765625" style="5" bestFit="1" customWidth="1"/>
    <col min="21" max="24" width="8.59765625" style="5" bestFit="1" customWidth="1"/>
    <col min="25" max="28" width="9.796875" style="5" bestFit="1" customWidth="1"/>
    <col min="29" max="16384" width="9.09765625" style="5"/>
  </cols>
  <sheetData>
    <row r="1" spans="1:28" ht="16.8" x14ac:dyDescent="0.25">
      <c r="A1" s="72" t="s">
        <v>0</v>
      </c>
      <c r="B1" s="73"/>
      <c r="C1" s="73"/>
      <c r="D1" s="73"/>
    </row>
    <row r="2" spans="1:28" ht="25.2" x14ac:dyDescent="0.4">
      <c r="A2" s="46" t="s">
        <v>1</v>
      </c>
      <c r="B2" s="47"/>
      <c r="C2" s="48"/>
      <c r="D2" s="57">
        <v>3</v>
      </c>
      <c r="H2" s="40"/>
      <c r="I2" s="40"/>
      <c r="J2" s="77" t="s">
        <v>49</v>
      </c>
      <c r="K2" s="77"/>
      <c r="L2" s="77" t="s">
        <v>50</v>
      </c>
      <c r="M2" s="77"/>
      <c r="N2" s="77" t="s">
        <v>51</v>
      </c>
      <c r="O2" s="77"/>
      <c r="P2" s="77"/>
      <c r="Q2" s="40"/>
      <c r="R2" s="40"/>
      <c r="S2" s="40"/>
      <c r="T2" s="40"/>
      <c r="U2" s="40"/>
      <c r="V2" s="40"/>
      <c r="W2" s="40"/>
      <c r="X2" s="40"/>
    </row>
    <row r="3" spans="1:28" ht="16.8" x14ac:dyDescent="0.3">
      <c r="A3" s="46" t="s">
        <v>2</v>
      </c>
      <c r="B3" s="47"/>
      <c r="C3" s="48"/>
      <c r="D3" s="43">
        <f>D2</f>
        <v>3</v>
      </c>
      <c r="G3" s="27"/>
      <c r="H3" s="20"/>
      <c r="I3" s="20"/>
      <c r="J3" s="74">
        <f>SUM('Bảng Input L30'!B13:B37)</f>
        <v>39.471209029764786</v>
      </c>
      <c r="K3" s="74"/>
      <c r="L3" s="75">
        <f>J3*91</f>
        <v>3591.8800217085955</v>
      </c>
      <c r="M3" s="75"/>
      <c r="N3" s="76">
        <f>L3+'Bảng Input L30'!C35</f>
        <v>12686.833669709755</v>
      </c>
      <c r="O3" s="76"/>
      <c r="P3" s="76"/>
      <c r="Q3" s="20"/>
      <c r="R3" s="20"/>
      <c r="S3" s="20"/>
      <c r="T3" s="20"/>
      <c r="U3" s="20"/>
      <c r="V3" s="20"/>
      <c r="W3" s="20"/>
      <c r="X3" s="20"/>
    </row>
    <row r="4" spans="1:28" ht="18.600000000000001" x14ac:dyDescent="0.3">
      <c r="A4" s="46" t="s">
        <v>3</v>
      </c>
      <c r="B4" s="47"/>
      <c r="C4" s="48"/>
      <c r="D4" s="43">
        <f>D3</f>
        <v>3</v>
      </c>
      <c r="G4" s="28" t="s">
        <v>14</v>
      </c>
      <c r="H4" s="55">
        <f>D9</f>
        <v>1.6180000000000001</v>
      </c>
      <c r="I4" s="1">
        <v>1.3819999999999999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8" ht="18.600000000000001" x14ac:dyDescent="0.3">
      <c r="A5" s="46" t="s">
        <v>4</v>
      </c>
      <c r="B5" s="47"/>
      <c r="C5" s="48"/>
      <c r="D5" s="43">
        <f>D4</f>
        <v>3</v>
      </c>
      <c r="G5" s="28" t="s">
        <v>55</v>
      </c>
      <c r="H5" s="56">
        <v>1</v>
      </c>
      <c r="I5" s="2">
        <v>1.6180000000000001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8" ht="20.399999999999999" x14ac:dyDescent="0.3">
      <c r="A6" s="46" t="s">
        <v>5</v>
      </c>
      <c r="B6" s="47"/>
      <c r="C6" s="48"/>
      <c r="D6" s="43">
        <f>D5</f>
        <v>3</v>
      </c>
      <c r="G6" s="28" t="s">
        <v>73</v>
      </c>
      <c r="H6" s="56">
        <v>3</v>
      </c>
      <c r="N6" s="41" t="s">
        <v>13</v>
      </c>
    </row>
    <row r="7" spans="1:28" ht="16.8" x14ac:dyDescent="0.3">
      <c r="A7" s="46" t="s">
        <v>6</v>
      </c>
      <c r="B7" s="47"/>
      <c r="C7" s="48"/>
      <c r="D7" s="43">
        <f>D6</f>
        <v>3</v>
      </c>
      <c r="G7" s="1"/>
      <c r="H7" s="1"/>
      <c r="I7" s="38">
        <v>2200</v>
      </c>
      <c r="J7" s="38">
        <f>I7-H$5</f>
        <v>2199</v>
      </c>
      <c r="K7" s="38">
        <f t="shared" ref="K7:X7" si="0">J7-$H$5</f>
        <v>2198</v>
      </c>
      <c r="L7" s="38">
        <f t="shared" si="0"/>
        <v>2197</v>
      </c>
      <c r="M7" s="38">
        <f t="shared" si="0"/>
        <v>2196</v>
      </c>
      <c r="N7" s="38">
        <f t="shared" si="0"/>
        <v>2195</v>
      </c>
      <c r="O7" s="38">
        <f t="shared" si="0"/>
        <v>2194</v>
      </c>
      <c r="P7" s="38">
        <f t="shared" si="0"/>
        <v>2193</v>
      </c>
      <c r="Q7" s="38">
        <f t="shared" si="0"/>
        <v>2192</v>
      </c>
      <c r="R7" s="38">
        <f t="shared" si="0"/>
        <v>2191</v>
      </c>
      <c r="S7" s="38">
        <f t="shared" si="0"/>
        <v>2190</v>
      </c>
      <c r="T7" s="38">
        <f t="shared" si="0"/>
        <v>2189</v>
      </c>
      <c r="U7" s="38">
        <f t="shared" si="0"/>
        <v>2188</v>
      </c>
      <c r="V7" s="38">
        <f t="shared" si="0"/>
        <v>2187</v>
      </c>
      <c r="W7" s="38">
        <f t="shared" si="0"/>
        <v>2186</v>
      </c>
      <c r="X7" s="38">
        <f t="shared" si="0"/>
        <v>2185</v>
      </c>
      <c r="Y7" s="38">
        <f t="shared" ref="Y7" si="1">X7-$H$5</f>
        <v>2184</v>
      </c>
      <c r="Z7" s="38">
        <f t="shared" ref="Z7" si="2">Y7-$H$5</f>
        <v>2183</v>
      </c>
      <c r="AA7" s="38">
        <f t="shared" ref="AA7" si="3">Z7-$H$5</f>
        <v>2182</v>
      </c>
      <c r="AB7" s="38">
        <f t="shared" ref="AB7" si="4">AA7-$H$5</f>
        <v>2181</v>
      </c>
    </row>
    <row r="8" spans="1:28" ht="16.8" x14ac:dyDescent="0.3">
      <c r="A8" s="46" t="s">
        <v>74</v>
      </c>
      <c r="B8" s="47"/>
      <c r="C8" s="48"/>
      <c r="D8" s="44">
        <v>0.1</v>
      </c>
      <c r="G8" s="1"/>
      <c r="H8" s="1"/>
      <c r="I8" s="38">
        <v>0</v>
      </c>
      <c r="J8" s="38">
        <f t="shared" ref="J8:X8" si="5">$I$7-J7</f>
        <v>1</v>
      </c>
      <c r="K8" s="38">
        <f t="shared" si="5"/>
        <v>2</v>
      </c>
      <c r="L8" s="38">
        <f t="shared" si="5"/>
        <v>3</v>
      </c>
      <c r="M8" s="38">
        <f t="shared" si="5"/>
        <v>4</v>
      </c>
      <c r="N8" s="38">
        <f t="shared" si="5"/>
        <v>5</v>
      </c>
      <c r="O8" s="38">
        <f t="shared" si="5"/>
        <v>6</v>
      </c>
      <c r="P8" s="38">
        <f t="shared" si="5"/>
        <v>7</v>
      </c>
      <c r="Q8" s="38">
        <f t="shared" si="5"/>
        <v>8</v>
      </c>
      <c r="R8" s="38">
        <f t="shared" si="5"/>
        <v>9</v>
      </c>
      <c r="S8" s="38">
        <f t="shared" si="5"/>
        <v>10</v>
      </c>
      <c r="T8" s="38">
        <f t="shared" si="5"/>
        <v>11</v>
      </c>
      <c r="U8" s="38">
        <f t="shared" si="5"/>
        <v>12</v>
      </c>
      <c r="V8" s="38">
        <f t="shared" si="5"/>
        <v>13</v>
      </c>
      <c r="W8" s="38">
        <f t="shared" si="5"/>
        <v>14</v>
      </c>
      <c r="X8" s="38">
        <f t="shared" si="5"/>
        <v>15</v>
      </c>
      <c r="Y8" s="38">
        <f t="shared" ref="Y8:AB8" si="6">$I$7-Y7</f>
        <v>16</v>
      </c>
      <c r="Z8" s="38">
        <f t="shared" si="6"/>
        <v>17</v>
      </c>
      <c r="AA8" s="38">
        <f t="shared" si="6"/>
        <v>18</v>
      </c>
      <c r="AB8" s="38">
        <f t="shared" si="6"/>
        <v>19</v>
      </c>
    </row>
    <row r="9" spans="1:28" ht="16.8" x14ac:dyDescent="0.3">
      <c r="A9" s="46" t="s">
        <v>7</v>
      </c>
      <c r="B9" s="47"/>
      <c r="C9" s="48"/>
      <c r="D9" s="45">
        <v>1.6180000000000001</v>
      </c>
      <c r="G9" s="29" t="s">
        <v>16</v>
      </c>
      <c r="H9" s="29" t="s">
        <v>54</v>
      </c>
      <c r="I9" s="29" t="s">
        <v>17</v>
      </c>
      <c r="J9" s="29" t="s">
        <v>18</v>
      </c>
      <c r="K9" s="29" t="s">
        <v>19</v>
      </c>
      <c r="L9" s="29" t="s">
        <v>20</v>
      </c>
      <c r="M9" s="29" t="s">
        <v>21</v>
      </c>
      <c r="N9" s="29" t="s">
        <v>22</v>
      </c>
      <c r="O9" s="29" t="s">
        <v>23</v>
      </c>
      <c r="P9" s="29" t="s">
        <v>24</v>
      </c>
      <c r="Q9" s="29" t="s">
        <v>25</v>
      </c>
      <c r="R9" s="29" t="s">
        <v>26</v>
      </c>
      <c r="S9" s="29" t="s">
        <v>27</v>
      </c>
      <c r="T9" s="29" t="s">
        <v>28</v>
      </c>
      <c r="U9" s="29" t="s">
        <v>29</v>
      </c>
      <c r="V9" s="29" t="s">
        <v>30</v>
      </c>
      <c r="W9" s="29" t="s">
        <v>31</v>
      </c>
      <c r="X9" s="29" t="s">
        <v>32</v>
      </c>
      <c r="Y9" s="29" t="s">
        <v>76</v>
      </c>
      <c r="Z9" s="29" t="s">
        <v>77</v>
      </c>
      <c r="AA9" s="29" t="s">
        <v>78</v>
      </c>
      <c r="AB9" s="29" t="s">
        <v>79</v>
      </c>
    </row>
    <row r="10" spans="1:28" ht="18.600000000000001" x14ac:dyDescent="0.3">
      <c r="A10" s="46" t="s">
        <v>75</v>
      </c>
      <c r="B10" s="47"/>
      <c r="C10" s="48"/>
      <c r="D10" s="58">
        <v>10</v>
      </c>
      <c r="G10" s="33" t="s">
        <v>53</v>
      </c>
      <c r="H10" s="56"/>
      <c r="I10" s="29">
        <v>1</v>
      </c>
      <c r="J10" s="29">
        <v>2</v>
      </c>
      <c r="K10" s="29">
        <v>3</v>
      </c>
      <c r="L10" s="29">
        <v>4</v>
      </c>
      <c r="M10" s="29">
        <v>5</v>
      </c>
      <c r="N10" s="29">
        <v>6</v>
      </c>
      <c r="O10" s="29">
        <v>7</v>
      </c>
      <c r="P10" s="29">
        <v>8</v>
      </c>
      <c r="Q10" s="29">
        <v>9</v>
      </c>
      <c r="R10" s="29">
        <v>10</v>
      </c>
      <c r="S10" s="29">
        <v>11</v>
      </c>
      <c r="T10" s="29">
        <v>12</v>
      </c>
      <c r="U10" s="29">
        <v>13</v>
      </c>
      <c r="V10" s="29">
        <v>14</v>
      </c>
      <c r="W10" s="29">
        <v>15</v>
      </c>
      <c r="X10" s="29">
        <v>16</v>
      </c>
      <c r="Y10" s="29">
        <v>17</v>
      </c>
      <c r="Z10" s="29">
        <v>18</v>
      </c>
      <c r="AA10" s="29">
        <v>19</v>
      </c>
      <c r="AB10" s="29">
        <v>20</v>
      </c>
    </row>
    <row r="11" spans="1:28" ht="17.399999999999999" thickBot="1" x14ac:dyDescent="0.35">
      <c r="A11" s="6"/>
      <c r="B11" s="7"/>
      <c r="C11" s="6"/>
      <c r="D11" s="6"/>
      <c r="G11" s="34">
        <v>1</v>
      </c>
      <c r="H11" s="35">
        <f>'Bảng Input L30'!B13</f>
        <v>0.1</v>
      </c>
      <c r="I11" s="31">
        <f>H11*H6*100</f>
        <v>30.000000000000004</v>
      </c>
      <c r="J11" s="31">
        <f>H11*100*(H6-H5)</f>
        <v>20</v>
      </c>
      <c r="K11" s="31">
        <f t="shared" ref="K11:AB11" si="7">$H$11*100*($H$6-$H$5*J10)</f>
        <v>10</v>
      </c>
      <c r="L11" s="31">
        <f t="shared" si="7"/>
        <v>0</v>
      </c>
      <c r="M11" s="31">
        <f>$H$11*100*($H$6-$H$5*L10)</f>
        <v>-10</v>
      </c>
      <c r="N11" s="31">
        <f t="shared" si="7"/>
        <v>-20</v>
      </c>
      <c r="O11" s="31">
        <f t="shared" si="7"/>
        <v>-30</v>
      </c>
      <c r="P11" s="31">
        <f t="shared" si="7"/>
        <v>-40</v>
      </c>
      <c r="Q11" s="31">
        <f t="shared" si="7"/>
        <v>-50</v>
      </c>
      <c r="R11" s="31">
        <f t="shared" si="7"/>
        <v>-60</v>
      </c>
      <c r="S11" s="31">
        <f t="shared" si="7"/>
        <v>-70</v>
      </c>
      <c r="T11" s="31">
        <f t="shared" si="7"/>
        <v>-80</v>
      </c>
      <c r="U11" s="31">
        <f t="shared" si="7"/>
        <v>-90</v>
      </c>
      <c r="V11" s="31">
        <f t="shared" si="7"/>
        <v>-100</v>
      </c>
      <c r="W11" s="31">
        <f t="shared" si="7"/>
        <v>-110</v>
      </c>
      <c r="X11" s="31">
        <f t="shared" si="7"/>
        <v>-120</v>
      </c>
      <c r="Y11" s="31">
        <f t="shared" si="7"/>
        <v>-130</v>
      </c>
      <c r="Z11" s="31">
        <f t="shared" si="7"/>
        <v>-140</v>
      </c>
      <c r="AA11" s="31">
        <f t="shared" si="7"/>
        <v>-150</v>
      </c>
      <c r="AB11" s="31">
        <f t="shared" si="7"/>
        <v>-160</v>
      </c>
    </row>
    <row r="12" spans="1:28" ht="18" thickTop="1" thickBot="1" x14ac:dyDescent="0.3">
      <c r="A12" s="21" t="s">
        <v>8</v>
      </c>
      <c r="B12" s="22" t="s">
        <v>9</v>
      </c>
      <c r="C12" s="23" t="s">
        <v>10</v>
      </c>
      <c r="D12" s="23" t="s">
        <v>11</v>
      </c>
      <c r="G12" s="34">
        <v>2</v>
      </c>
      <c r="H12" s="30">
        <f t="shared" ref="H12:H30" si="8">H11*$H$4</f>
        <v>0.16180000000000003</v>
      </c>
      <c r="I12" s="3"/>
      <c r="J12" s="31">
        <f>H12*100*H6</f>
        <v>48.540000000000006</v>
      </c>
      <c r="K12" s="31">
        <f>H12*100*(H6-H5)</f>
        <v>32.360000000000007</v>
      </c>
      <c r="L12" s="31">
        <f t="shared" ref="L12:AB12" si="9">$H$12*100*($H$6-$H$5*J10)</f>
        <v>16.180000000000003</v>
      </c>
      <c r="M12" s="31">
        <f t="shared" si="9"/>
        <v>0</v>
      </c>
      <c r="N12" s="31">
        <f t="shared" si="9"/>
        <v>-16.180000000000003</v>
      </c>
      <c r="O12" s="31">
        <f t="shared" si="9"/>
        <v>-32.360000000000007</v>
      </c>
      <c r="P12" s="31">
        <f t="shared" si="9"/>
        <v>-48.540000000000006</v>
      </c>
      <c r="Q12" s="31">
        <f t="shared" si="9"/>
        <v>-64.720000000000013</v>
      </c>
      <c r="R12" s="31">
        <f t="shared" si="9"/>
        <v>-80.90000000000002</v>
      </c>
      <c r="S12" s="31">
        <f t="shared" si="9"/>
        <v>-97.080000000000013</v>
      </c>
      <c r="T12" s="31">
        <f t="shared" si="9"/>
        <v>-113.26000000000002</v>
      </c>
      <c r="U12" s="31">
        <f t="shared" si="9"/>
        <v>-129.44000000000003</v>
      </c>
      <c r="V12" s="31">
        <f t="shared" si="9"/>
        <v>-145.62000000000003</v>
      </c>
      <c r="W12" s="31">
        <f t="shared" si="9"/>
        <v>-161.80000000000004</v>
      </c>
      <c r="X12" s="31">
        <f t="shared" si="9"/>
        <v>-177.98000000000005</v>
      </c>
      <c r="Y12" s="31">
        <f t="shared" si="9"/>
        <v>-194.16000000000003</v>
      </c>
      <c r="Z12" s="31">
        <f t="shared" si="9"/>
        <v>-210.34000000000003</v>
      </c>
      <c r="AA12" s="31">
        <f t="shared" si="9"/>
        <v>-226.52000000000004</v>
      </c>
      <c r="AB12" s="31">
        <f t="shared" si="9"/>
        <v>-242.70000000000005</v>
      </c>
    </row>
    <row r="13" spans="1:28" ht="17.399999999999999" thickTop="1" x14ac:dyDescent="0.3">
      <c r="A13" s="24" t="str">
        <f>IF($D$10&gt;0,"L1",0)</f>
        <v>L1</v>
      </c>
      <c r="B13" s="8">
        <f>+D8</f>
        <v>0.1</v>
      </c>
      <c r="C13" s="9">
        <f>+B13*D13*100</f>
        <v>270</v>
      </c>
      <c r="D13" s="9">
        <f>IF(A13=0,0,$D$2+$D$3+$D$4+$D$5+$D$6+($D$7*($D$10-6)))</f>
        <v>27</v>
      </c>
      <c r="G13" s="34">
        <v>3</v>
      </c>
      <c r="H13" s="30">
        <f t="shared" si="8"/>
        <v>0.26179240000000004</v>
      </c>
      <c r="I13" s="3"/>
      <c r="J13" s="3"/>
      <c r="K13" s="31">
        <f>H13*100*H6</f>
        <v>78.537720000000007</v>
      </c>
      <c r="L13" s="31">
        <f>H13*100*(H6-H5)</f>
        <v>52.358480000000007</v>
      </c>
      <c r="M13" s="31">
        <f t="shared" ref="M13:AB13" si="10">$H$13*100*($H$6-$H$5*J10)</f>
        <v>26.179240000000004</v>
      </c>
      <c r="N13" s="31">
        <f t="shared" si="10"/>
        <v>0</v>
      </c>
      <c r="O13" s="31">
        <f t="shared" si="10"/>
        <v>-26.179240000000004</v>
      </c>
      <c r="P13" s="31">
        <f t="shared" si="10"/>
        <v>-52.358480000000007</v>
      </c>
      <c r="Q13" s="31">
        <f t="shared" si="10"/>
        <v>-78.537720000000007</v>
      </c>
      <c r="R13" s="31">
        <f t="shared" si="10"/>
        <v>-104.71696000000001</v>
      </c>
      <c r="S13" s="31">
        <f t="shared" si="10"/>
        <v>-130.89620000000002</v>
      </c>
      <c r="T13" s="31">
        <f t="shared" si="10"/>
        <v>-157.07544000000001</v>
      </c>
      <c r="U13" s="31">
        <f t="shared" si="10"/>
        <v>-183.25468000000004</v>
      </c>
      <c r="V13" s="31">
        <f t="shared" si="10"/>
        <v>-209.43392000000003</v>
      </c>
      <c r="W13" s="31">
        <f t="shared" si="10"/>
        <v>-235.61316000000002</v>
      </c>
      <c r="X13" s="31">
        <f t="shared" si="10"/>
        <v>-261.79240000000004</v>
      </c>
      <c r="Y13" s="31">
        <f t="shared" si="10"/>
        <v>-287.97164000000004</v>
      </c>
      <c r="Z13" s="31">
        <f t="shared" si="10"/>
        <v>-314.15088000000003</v>
      </c>
      <c r="AA13" s="31">
        <f t="shared" si="10"/>
        <v>-340.33012000000002</v>
      </c>
      <c r="AB13" s="31">
        <f t="shared" si="10"/>
        <v>-366.50936000000007</v>
      </c>
    </row>
    <row r="14" spans="1:28" ht="16.8" x14ac:dyDescent="0.3">
      <c r="A14" s="24" t="str">
        <f t="shared" ref="A14:A34" si="11">IF(A13=0,0,IF(VALUE(MID(A13,2,2))&gt;=$D$10,0,"L"&amp;VALUE(MID(A13,2,2))+1))</f>
        <v>L2</v>
      </c>
      <c r="B14" s="10">
        <f t="shared" ref="B14:B34" si="12">IF(A14&lt;&gt;0,B13*$D$9,0)</f>
        <v>0.16180000000000003</v>
      </c>
      <c r="C14" s="9">
        <f t="shared" ref="C14:C34" si="13">+B14*D14*100</f>
        <v>388.32000000000005</v>
      </c>
      <c r="D14" s="9">
        <f>IF(A14=0,0,$D$3+$D$4+$D$5+$D$6+($D$7*($D$10-6)))</f>
        <v>24</v>
      </c>
      <c r="G14" s="34">
        <v>4</v>
      </c>
      <c r="H14" s="30">
        <f t="shared" si="8"/>
        <v>0.42358010320000011</v>
      </c>
      <c r="I14" s="3"/>
      <c r="J14" s="3"/>
      <c r="K14" s="3"/>
      <c r="L14" s="31">
        <f>H14*100*H6</f>
        <v>127.07403096000004</v>
      </c>
      <c r="M14" s="31">
        <f>H14*100*(H6-H5)</f>
        <v>84.716020640000025</v>
      </c>
      <c r="N14" s="31">
        <f t="shared" ref="N14:AB14" si="14">$H$14*100*($H$6-$H$5*J10)</f>
        <v>42.358010320000012</v>
      </c>
      <c r="O14" s="31">
        <f t="shared" si="14"/>
        <v>0</v>
      </c>
      <c r="P14" s="31">
        <f t="shared" si="14"/>
        <v>-42.358010320000012</v>
      </c>
      <c r="Q14" s="31">
        <f t="shared" si="14"/>
        <v>-84.716020640000025</v>
      </c>
      <c r="R14" s="31">
        <f t="shared" si="14"/>
        <v>-127.07403096000004</v>
      </c>
      <c r="S14" s="31">
        <f t="shared" si="14"/>
        <v>-169.43204128000005</v>
      </c>
      <c r="T14" s="31">
        <f t="shared" si="14"/>
        <v>-211.79005160000006</v>
      </c>
      <c r="U14" s="31">
        <f t="shared" si="14"/>
        <v>-254.14806192000009</v>
      </c>
      <c r="V14" s="31">
        <f t="shared" si="14"/>
        <v>-296.50607224000009</v>
      </c>
      <c r="W14" s="31">
        <f t="shared" si="14"/>
        <v>-338.8640825600001</v>
      </c>
      <c r="X14" s="31">
        <f t="shared" si="14"/>
        <v>-381.2220928800001</v>
      </c>
      <c r="Y14" s="31">
        <f t="shared" si="14"/>
        <v>-423.58010320000011</v>
      </c>
      <c r="Z14" s="31">
        <f t="shared" si="14"/>
        <v>-465.93811352000012</v>
      </c>
      <c r="AA14" s="31">
        <f t="shared" si="14"/>
        <v>-508.29612384000018</v>
      </c>
      <c r="AB14" s="31">
        <f t="shared" si="14"/>
        <v>-550.65413416000013</v>
      </c>
    </row>
    <row r="15" spans="1:28" ht="16.8" x14ac:dyDescent="0.3">
      <c r="A15" s="24" t="str">
        <f t="shared" si="11"/>
        <v>L3</v>
      </c>
      <c r="B15" s="10">
        <f t="shared" si="12"/>
        <v>0.26179240000000004</v>
      </c>
      <c r="C15" s="9">
        <f t="shared" si="13"/>
        <v>549.76404000000002</v>
      </c>
      <c r="D15" s="9">
        <f>IF(A15=0,0,$D$4+$D$5+$D$6+($D$7*($D$10-6)))</f>
        <v>21</v>
      </c>
      <c r="G15" s="34">
        <v>5</v>
      </c>
      <c r="H15" s="30">
        <f t="shared" si="8"/>
        <v>0.68535260697760025</v>
      </c>
      <c r="I15" s="4"/>
      <c r="J15" s="3"/>
      <c r="K15" s="3"/>
      <c r="L15" s="3"/>
      <c r="M15" s="31">
        <f>H15*H6*100</f>
        <v>205.60578209328008</v>
      </c>
      <c r="N15" s="31">
        <f>H15*100*(H6-H5)</f>
        <v>137.07052139552005</v>
      </c>
      <c r="O15" s="31">
        <f t="shared" ref="O15:AB15" si="15">$H$15*100*($H$6-$H$5*J10)</f>
        <v>68.535260697760023</v>
      </c>
      <c r="P15" s="31">
        <f t="shared" si="15"/>
        <v>0</v>
      </c>
      <c r="Q15" s="31">
        <f t="shared" si="15"/>
        <v>-68.535260697760023</v>
      </c>
      <c r="R15" s="31">
        <f t="shared" si="15"/>
        <v>-137.07052139552005</v>
      </c>
      <c r="S15" s="31">
        <f t="shared" si="15"/>
        <v>-205.60578209328008</v>
      </c>
      <c r="T15" s="31">
        <f t="shared" si="15"/>
        <v>-274.14104279104009</v>
      </c>
      <c r="U15" s="31">
        <f t="shared" si="15"/>
        <v>-342.6763034888001</v>
      </c>
      <c r="V15" s="31">
        <f t="shared" si="15"/>
        <v>-411.21156418656017</v>
      </c>
      <c r="W15" s="31">
        <f t="shared" si="15"/>
        <v>-479.74682488432018</v>
      </c>
      <c r="X15" s="31">
        <f t="shared" si="15"/>
        <v>-548.28208558208019</v>
      </c>
      <c r="Y15" s="31">
        <f t="shared" si="15"/>
        <v>-616.81734627984019</v>
      </c>
      <c r="Z15" s="31">
        <f t="shared" si="15"/>
        <v>-685.3526069776002</v>
      </c>
      <c r="AA15" s="31">
        <f t="shared" si="15"/>
        <v>-753.88786767536021</v>
      </c>
      <c r="AB15" s="31">
        <f t="shared" si="15"/>
        <v>-822.42312837312033</v>
      </c>
    </row>
    <row r="16" spans="1:28" ht="16.8" x14ac:dyDescent="0.3">
      <c r="A16" s="24" t="str">
        <f t="shared" si="11"/>
        <v>L4</v>
      </c>
      <c r="B16" s="10">
        <f t="shared" si="12"/>
        <v>0.42358010320000011</v>
      </c>
      <c r="C16" s="9">
        <f t="shared" si="13"/>
        <v>762.44418576000021</v>
      </c>
      <c r="D16" s="9">
        <f>IF(A16=0,0,$D$5+$D$6+($D$7*($D$10-6)))</f>
        <v>18</v>
      </c>
      <c r="G16" s="34">
        <v>6</v>
      </c>
      <c r="H16" s="30">
        <f t="shared" si="8"/>
        <v>1.1089005180897573</v>
      </c>
      <c r="I16" s="3"/>
      <c r="J16" s="3"/>
      <c r="K16" s="3"/>
      <c r="L16" s="3"/>
      <c r="M16" s="3"/>
      <c r="N16" s="31">
        <f>H16*H6*100</f>
        <v>332.67015542692724</v>
      </c>
      <c r="O16" s="31">
        <f>H16*100*(H6-H5)</f>
        <v>221.78010361795145</v>
      </c>
      <c r="P16" s="31">
        <f t="shared" ref="P16:X16" si="16">$H$16*100*($H$6-$H$5*J10)</f>
        <v>110.89005180897573</v>
      </c>
      <c r="Q16" s="31">
        <f t="shared" si="16"/>
        <v>0</v>
      </c>
      <c r="R16" s="31">
        <f t="shared" si="16"/>
        <v>-110.89005180897573</v>
      </c>
      <c r="S16" s="31">
        <f t="shared" si="16"/>
        <v>-221.78010361795145</v>
      </c>
      <c r="T16" s="31">
        <f t="shared" si="16"/>
        <v>-332.67015542692718</v>
      </c>
      <c r="U16" s="31">
        <f t="shared" si="16"/>
        <v>-443.56020723590291</v>
      </c>
      <c r="V16" s="31">
        <f t="shared" si="16"/>
        <v>-554.45025904487863</v>
      </c>
      <c r="W16" s="31">
        <f t="shared" si="16"/>
        <v>-665.34031085385436</v>
      </c>
      <c r="X16" s="31">
        <f t="shared" si="16"/>
        <v>-776.23036266283009</v>
      </c>
      <c r="Y16" s="31">
        <f t="shared" ref="Y16" si="17">$H$16*100*($H$6-$H$5*S10)</f>
        <v>-887.12041447180582</v>
      </c>
      <c r="Z16" s="31">
        <f t="shared" ref="Z16" si="18">$H$16*100*($H$6-$H$5*T10)</f>
        <v>-998.01046628078154</v>
      </c>
      <c r="AA16" s="31">
        <f t="shared" ref="AA16" si="19">$H$16*100*($H$6-$H$5*U10)</f>
        <v>-1108.9005180897573</v>
      </c>
      <c r="AB16" s="31">
        <f t="shared" ref="AB16" si="20">$H$16*100*($H$6-$H$5*V10)</f>
        <v>-1219.7905698987329</v>
      </c>
    </row>
    <row r="17" spans="1:28" ht="16.8" x14ac:dyDescent="0.3">
      <c r="A17" s="24" t="str">
        <f t="shared" si="11"/>
        <v>L5</v>
      </c>
      <c r="B17" s="10">
        <f t="shared" si="12"/>
        <v>0.68535260697760025</v>
      </c>
      <c r="C17" s="9">
        <f t="shared" si="13"/>
        <v>1028.0289104664002</v>
      </c>
      <c r="D17" s="9">
        <f>IF(A17=0,0,$D$6+($D$7*($D$10-6)))</f>
        <v>15</v>
      </c>
      <c r="G17" s="34">
        <v>7</v>
      </c>
      <c r="H17" s="30">
        <f t="shared" si="8"/>
        <v>1.7942010382692275</v>
      </c>
      <c r="I17" s="3"/>
      <c r="J17" s="3"/>
      <c r="K17" s="3"/>
      <c r="L17" s="3"/>
      <c r="M17" s="3"/>
      <c r="N17" s="3"/>
      <c r="O17" s="31">
        <f>H6*H17*100</f>
        <v>538.26031148076834</v>
      </c>
      <c r="P17" s="31">
        <f>H17*100*(H6-H5)</f>
        <v>358.84020765384548</v>
      </c>
      <c r="Q17" s="31">
        <f t="shared" ref="Q17:X17" si="21">$H$17*100*($H$6-$H$5*J10)</f>
        <v>179.42010382692274</v>
      </c>
      <c r="R17" s="31">
        <f t="shared" si="21"/>
        <v>0</v>
      </c>
      <c r="S17" s="31">
        <f t="shared" si="21"/>
        <v>-179.42010382692274</v>
      </c>
      <c r="T17" s="31">
        <f t="shared" si="21"/>
        <v>-358.84020765384548</v>
      </c>
      <c r="U17" s="31">
        <f t="shared" si="21"/>
        <v>-538.26031148076822</v>
      </c>
      <c r="V17" s="31">
        <f t="shared" si="21"/>
        <v>-717.68041530769096</v>
      </c>
      <c r="W17" s="31">
        <f t="shared" si="21"/>
        <v>-897.10051913461371</v>
      </c>
      <c r="X17" s="31">
        <f t="shared" si="21"/>
        <v>-1076.5206229615364</v>
      </c>
      <c r="Y17" s="31">
        <f t="shared" ref="Y17" si="22">$H$17*100*($H$6-$H$5*R10)</f>
        <v>-1255.9407267884592</v>
      </c>
      <c r="Z17" s="31">
        <f t="shared" ref="Z17" si="23">$H$17*100*($H$6-$H$5*S10)</f>
        <v>-1435.3608306153819</v>
      </c>
      <c r="AA17" s="31">
        <f t="shared" ref="AA17" si="24">$H$17*100*($H$6-$H$5*T10)</f>
        <v>-1614.7809344423047</v>
      </c>
      <c r="AB17" s="31">
        <f t="shared" ref="AB17" si="25">$H$17*100*($H$6-$H$5*U10)</f>
        <v>-1794.2010382692274</v>
      </c>
    </row>
    <row r="18" spans="1:28" ht="16.8" x14ac:dyDescent="0.3">
      <c r="A18" s="24" t="str">
        <f t="shared" si="11"/>
        <v>L6</v>
      </c>
      <c r="B18" s="10">
        <f t="shared" si="12"/>
        <v>1.1089005180897573</v>
      </c>
      <c r="C18" s="9">
        <f t="shared" si="13"/>
        <v>1330.680621707709</v>
      </c>
      <c r="D18" s="9">
        <f>IF(A18=0,0,($D$7*($D$10-6)))</f>
        <v>12</v>
      </c>
      <c r="G18" s="34">
        <v>8</v>
      </c>
      <c r="H18" s="30">
        <f t="shared" si="8"/>
        <v>2.9030172799196103</v>
      </c>
      <c r="I18" s="3"/>
      <c r="J18" s="3"/>
      <c r="K18" s="3"/>
      <c r="L18" s="3"/>
      <c r="M18" s="3"/>
      <c r="N18" s="3"/>
      <c r="O18" s="3"/>
      <c r="P18" s="31">
        <f>H6*H18*100</f>
        <v>870.90518397588323</v>
      </c>
      <c r="Q18" s="31">
        <f>H18*100*(H6-H5)</f>
        <v>580.60345598392212</v>
      </c>
      <c r="R18" s="31">
        <f t="shared" ref="R18:X18" si="26">$H$18*100*($H$6-$H$5*J10)</f>
        <v>290.30172799196106</v>
      </c>
      <c r="S18" s="31">
        <f t="shared" si="26"/>
        <v>0</v>
      </c>
      <c r="T18" s="31">
        <f t="shared" si="26"/>
        <v>-290.30172799196106</v>
      </c>
      <c r="U18" s="31">
        <f t="shared" si="26"/>
        <v>-580.60345598392212</v>
      </c>
      <c r="V18" s="31">
        <f t="shared" si="26"/>
        <v>-870.90518397588312</v>
      </c>
      <c r="W18" s="31">
        <f t="shared" si="26"/>
        <v>-1161.2069119678442</v>
      </c>
      <c r="X18" s="31">
        <f t="shared" si="26"/>
        <v>-1451.5086399598054</v>
      </c>
      <c r="Y18" s="31">
        <f t="shared" ref="Y18" si="27">$H$18*100*($H$6-$H$5*Q10)</f>
        <v>-1741.8103679517662</v>
      </c>
      <c r="Z18" s="31">
        <f t="shared" ref="Z18" si="28">$H$18*100*($H$6-$H$5*R10)</f>
        <v>-2032.1120959437274</v>
      </c>
      <c r="AA18" s="31">
        <f t="shared" ref="AA18" si="29">$H$18*100*($H$6-$H$5*S10)</f>
        <v>-2322.4138239356885</v>
      </c>
      <c r="AB18" s="31">
        <f t="shared" ref="AB18" si="30">$H$18*100*($H$6-$H$5*T10)</f>
        <v>-2612.7155519276494</v>
      </c>
    </row>
    <row r="19" spans="1:28" ht="16.8" x14ac:dyDescent="0.3">
      <c r="A19" s="24" t="str">
        <f t="shared" si="11"/>
        <v>L7</v>
      </c>
      <c r="B19" s="10">
        <f t="shared" si="12"/>
        <v>1.7942010382692275</v>
      </c>
      <c r="C19" s="9">
        <f t="shared" si="13"/>
        <v>1614.7809344423049</v>
      </c>
      <c r="D19" s="9">
        <f>IF(A19=0,0,($D$7*($D$10-7)))</f>
        <v>9</v>
      </c>
      <c r="G19" s="34">
        <v>9</v>
      </c>
      <c r="H19" s="30">
        <f t="shared" si="8"/>
        <v>4.69708195890993</v>
      </c>
      <c r="I19" s="3"/>
      <c r="J19" s="3"/>
      <c r="K19" s="3"/>
      <c r="L19" s="3"/>
      <c r="M19" s="3"/>
      <c r="N19" s="3"/>
      <c r="O19" s="3"/>
      <c r="P19" s="3"/>
      <c r="Q19" s="31">
        <f>H6*H19*100</f>
        <v>1409.124587672979</v>
      </c>
      <c r="R19" s="31">
        <f>H19*100*(H6-H5)</f>
        <v>939.41639178198602</v>
      </c>
      <c r="S19" s="31">
        <f t="shared" ref="S19:X19" si="31">$H$19*100*($H$6-$H$5*J10)</f>
        <v>469.70819589099301</v>
      </c>
      <c r="T19" s="31">
        <f t="shared" si="31"/>
        <v>0</v>
      </c>
      <c r="U19" s="31">
        <f t="shared" si="31"/>
        <v>-469.70819589099301</v>
      </c>
      <c r="V19" s="31">
        <f t="shared" si="31"/>
        <v>-939.41639178198602</v>
      </c>
      <c r="W19" s="31">
        <f t="shared" si="31"/>
        <v>-1409.124587672979</v>
      </c>
      <c r="X19" s="31">
        <f t="shared" si="31"/>
        <v>-1878.832783563972</v>
      </c>
      <c r="Y19" s="31">
        <f t="shared" ref="Y19" si="32">$H$19*100*($H$6-$H$5*P10)</f>
        <v>-2348.5409794549651</v>
      </c>
      <c r="Z19" s="31">
        <f t="shared" ref="Z19" si="33">$H$19*100*($H$6-$H$5*Q10)</f>
        <v>-2818.2491753459581</v>
      </c>
      <c r="AA19" s="31">
        <f t="shared" ref="AA19" si="34">$H$19*100*($H$6-$H$5*R10)</f>
        <v>-3287.9573712369511</v>
      </c>
      <c r="AB19" s="31">
        <f t="shared" ref="AB19" si="35">$H$19*100*($H$6-$H$5*S10)</f>
        <v>-3757.6655671279441</v>
      </c>
    </row>
    <row r="20" spans="1:28" ht="16.8" x14ac:dyDescent="0.3">
      <c r="A20" s="24" t="str">
        <f t="shared" si="11"/>
        <v>L8</v>
      </c>
      <c r="B20" s="10">
        <f t="shared" si="12"/>
        <v>2.9030172799196103</v>
      </c>
      <c r="C20" s="9">
        <f t="shared" si="13"/>
        <v>1741.8103679517665</v>
      </c>
      <c r="D20" s="9">
        <f>IF(A20=0,0,($D$7*($D$10-8)))</f>
        <v>6</v>
      </c>
      <c r="G20" s="34">
        <v>10</v>
      </c>
      <c r="H20" s="30">
        <f t="shared" si="8"/>
        <v>7.5998786095162671</v>
      </c>
      <c r="I20" s="3"/>
      <c r="J20" s="3"/>
      <c r="K20" s="3"/>
      <c r="L20" s="3"/>
      <c r="M20" s="3"/>
      <c r="N20" s="3"/>
      <c r="O20" s="3"/>
      <c r="P20" s="3"/>
      <c r="Q20" s="3"/>
      <c r="R20" s="31">
        <f>H6*H20*100</f>
        <v>2279.9635828548803</v>
      </c>
      <c r="S20" s="31">
        <f>H20*100*(H6-H5)</f>
        <v>1519.9757219032535</v>
      </c>
      <c r="T20" s="31">
        <f>$H$20*100*($H$6-$H$5*J10)</f>
        <v>759.98786095162677</v>
      </c>
      <c r="U20" s="31">
        <f>$H$20*100*($H$6-$H$5*K10)</f>
        <v>0</v>
      </c>
      <c r="V20" s="31">
        <f>$H$20*100*($H$6-$H$5*L10)</f>
        <v>-759.98786095162677</v>
      </c>
      <c r="W20" s="31">
        <f>$H$20*100*($H$6-$H$5*M10)</f>
        <v>-1519.9757219032535</v>
      </c>
      <c r="X20" s="31">
        <f>$H$20*100*($H$6-$H$5*N10)</f>
        <v>-2279.9635828548803</v>
      </c>
      <c r="Y20" s="31">
        <f t="shared" ref="Y20:AB20" si="36">$H$20*100*($H$6-$H$5*O10)</f>
        <v>-3039.9514438065071</v>
      </c>
      <c r="Z20" s="31">
        <f t="shared" si="36"/>
        <v>-3799.9393047581339</v>
      </c>
      <c r="AA20" s="31">
        <f t="shared" si="36"/>
        <v>-4559.9271657097606</v>
      </c>
      <c r="AB20" s="31">
        <f t="shared" si="36"/>
        <v>-5319.9150266613869</v>
      </c>
    </row>
    <row r="21" spans="1:28" ht="16.8" x14ac:dyDescent="0.3">
      <c r="A21" s="24" t="str">
        <f t="shared" si="11"/>
        <v>L9</v>
      </c>
      <c r="B21" s="10">
        <f t="shared" si="12"/>
        <v>4.69708195890993</v>
      </c>
      <c r="C21" s="9">
        <f t="shared" si="13"/>
        <v>1409.124587672979</v>
      </c>
      <c r="D21" s="9">
        <f>IF(A21=0,0,($D$7*($D$10-9)))</f>
        <v>3</v>
      </c>
      <c r="G21" s="34">
        <v>11</v>
      </c>
      <c r="H21" s="30">
        <f t="shared" si="8"/>
        <v>12.296603590197321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2">
        <f>H6*H21*100</f>
        <v>3688.9810770591967</v>
      </c>
      <c r="T21" s="32">
        <f>H21*100*(H6-H5)</f>
        <v>2459.3207180394643</v>
      </c>
      <c r="U21" s="32">
        <f>$H$21*100*($H$6-$H$5*J10)</f>
        <v>1229.6603590197321</v>
      </c>
      <c r="V21" s="32">
        <f>$H$21*100*($H$6-$H$5*K10)</f>
        <v>0</v>
      </c>
      <c r="W21" s="32">
        <f>$H$21*100*($H$6-$H$5*L10)</f>
        <v>-1229.6603590197321</v>
      </c>
      <c r="X21" s="32">
        <f>$H$21*100*($H$6-$H$5*M10)</f>
        <v>-2459.3207180394643</v>
      </c>
      <c r="Y21" s="32">
        <f t="shared" ref="Y21:AB21" si="37">$H$21*100*($H$6-$H$5*N10)</f>
        <v>-3688.9810770591967</v>
      </c>
      <c r="Z21" s="32">
        <f t="shared" si="37"/>
        <v>-4918.6414360789286</v>
      </c>
      <c r="AA21" s="32">
        <f t="shared" si="37"/>
        <v>-6148.3017950986605</v>
      </c>
      <c r="AB21" s="32">
        <f t="shared" si="37"/>
        <v>-7377.9621541183933</v>
      </c>
    </row>
    <row r="22" spans="1:28" ht="16.8" x14ac:dyDescent="0.3">
      <c r="A22" s="24" t="str">
        <f t="shared" si="11"/>
        <v>L10</v>
      </c>
      <c r="B22" s="10">
        <f t="shared" si="12"/>
        <v>7.5998786095162671</v>
      </c>
      <c r="C22" s="9">
        <f t="shared" si="13"/>
        <v>0</v>
      </c>
      <c r="D22" s="9">
        <f>IF(A22=0,0,($D$7*($D$10-10)))</f>
        <v>0</v>
      </c>
      <c r="G22" s="34">
        <v>12</v>
      </c>
      <c r="H22" s="30">
        <f t="shared" si="8"/>
        <v>19.895904608939269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2"/>
      <c r="T22" s="32">
        <f>H6*H22*100</f>
        <v>5968.7713826817808</v>
      </c>
      <c r="U22" s="32">
        <f>H22*100*(H6-H5)</f>
        <v>3979.1809217878535</v>
      </c>
      <c r="V22" s="32">
        <f>$H$22*100*($H$6-$H$5*J10)</f>
        <v>1989.5904608939268</v>
      </c>
      <c r="W22" s="32">
        <f>$H$22*100*($H$6-$H$5*K10)</f>
        <v>0</v>
      </c>
      <c r="X22" s="32">
        <f>$H$22*100*($H$6-$H$5*L10)</f>
        <v>-1989.5904608939268</v>
      </c>
      <c r="Y22" s="32">
        <f t="shared" ref="Y22:AB22" si="38">$H$22*100*($H$6-$H$5*M10)</f>
        <v>-3979.1809217878535</v>
      </c>
      <c r="Z22" s="32">
        <f t="shared" si="38"/>
        <v>-5968.7713826817799</v>
      </c>
      <c r="AA22" s="32">
        <f t="shared" si="38"/>
        <v>-7958.3618435757071</v>
      </c>
      <c r="AB22" s="32">
        <f t="shared" si="38"/>
        <v>-9947.9523044696343</v>
      </c>
    </row>
    <row r="23" spans="1:28" ht="16.8" x14ac:dyDescent="0.3">
      <c r="A23" s="24">
        <f t="shared" si="11"/>
        <v>0</v>
      </c>
      <c r="B23" s="10">
        <f t="shared" si="12"/>
        <v>0</v>
      </c>
      <c r="C23" s="9">
        <f t="shared" si="13"/>
        <v>0</v>
      </c>
      <c r="D23" s="9">
        <f>IF(A23=0,0,($D$7*($D$10-11)))</f>
        <v>0</v>
      </c>
      <c r="G23" s="34">
        <v>13</v>
      </c>
      <c r="H23" s="30">
        <f t="shared" si="8"/>
        <v>32.191573657263739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2"/>
      <c r="T23" s="32"/>
      <c r="U23" s="32">
        <f>H6*H23*100</f>
        <v>9657.4720971791212</v>
      </c>
      <c r="V23" s="32">
        <f>H23*100*(H6-H5)</f>
        <v>6438.3147314527478</v>
      </c>
      <c r="W23" s="32">
        <f>$H$23*100*($H$6-$H$5*J10)</f>
        <v>3219.1573657263739</v>
      </c>
      <c r="X23" s="32">
        <f>$H$23*100*($H$6-$H$5*K10)</f>
        <v>0</v>
      </c>
      <c r="Y23" s="32">
        <f t="shared" ref="Y23:AB23" si="39">$H$23*100*($H$6-$H$5*L10)</f>
        <v>-3219.1573657263739</v>
      </c>
      <c r="Z23" s="32">
        <f t="shared" si="39"/>
        <v>-6438.3147314527478</v>
      </c>
      <c r="AA23" s="32">
        <f t="shared" si="39"/>
        <v>-9657.4720971791212</v>
      </c>
      <c r="AB23" s="32">
        <f t="shared" si="39"/>
        <v>-12876.629462905496</v>
      </c>
    </row>
    <row r="24" spans="1:28" ht="16.8" x14ac:dyDescent="0.3">
      <c r="A24" s="24">
        <f t="shared" si="11"/>
        <v>0</v>
      </c>
      <c r="B24" s="10">
        <f t="shared" si="12"/>
        <v>0</v>
      </c>
      <c r="C24" s="9">
        <f t="shared" si="13"/>
        <v>0</v>
      </c>
      <c r="D24" s="9">
        <f>IF(A24=0,0,($D$7*($D$10-12)))</f>
        <v>0</v>
      </c>
      <c r="G24" s="34">
        <v>14</v>
      </c>
      <c r="H24" s="30">
        <f t="shared" si="8"/>
        <v>52.085966177452732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2"/>
      <c r="T24" s="32"/>
      <c r="U24" s="32"/>
      <c r="V24" s="32">
        <f>H6*H24*100</f>
        <v>15625.789853235818</v>
      </c>
      <c r="W24" s="32">
        <f>H24*100*(H6-H5)</f>
        <v>10417.193235490546</v>
      </c>
      <c r="X24" s="32">
        <f>$H$24*100*($H$6-$H$5*J10)</f>
        <v>5208.5966177452729</v>
      </c>
      <c r="Y24" s="32">
        <f t="shared" ref="Y24:AB24" si="40">$H$24*100*($H$6-$H$5*K10)</f>
        <v>0</v>
      </c>
      <c r="Z24" s="32">
        <f t="shared" si="40"/>
        <v>-5208.5966177452729</v>
      </c>
      <c r="AA24" s="32">
        <f t="shared" si="40"/>
        <v>-10417.193235490546</v>
      </c>
      <c r="AB24" s="32">
        <f t="shared" si="40"/>
        <v>-15625.789853235819</v>
      </c>
    </row>
    <row r="25" spans="1:28" ht="16.8" x14ac:dyDescent="0.3">
      <c r="A25" s="24">
        <f t="shared" si="11"/>
        <v>0</v>
      </c>
      <c r="B25" s="10">
        <f t="shared" si="12"/>
        <v>0</v>
      </c>
      <c r="C25" s="9">
        <f t="shared" si="13"/>
        <v>0</v>
      </c>
      <c r="D25" s="9">
        <f>IF(A25=0,0,($D$7*($D$10-13)))</f>
        <v>0</v>
      </c>
      <c r="G25" s="34">
        <v>15</v>
      </c>
      <c r="H25" s="30">
        <f t="shared" si="8"/>
        <v>84.275093275118522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2"/>
      <c r="T25" s="32"/>
      <c r="U25" s="32"/>
      <c r="V25" s="32"/>
      <c r="W25" s="32">
        <f>H6*H25*100</f>
        <v>25282.527982535554</v>
      </c>
      <c r="X25" s="32">
        <f>H25*100*(H6-H5)</f>
        <v>16855.018655023705</v>
      </c>
      <c r="Y25" s="32">
        <f>$H$25*100*($H$6-$H$5*J10)</f>
        <v>8427.5093275118525</v>
      </c>
      <c r="Z25" s="32">
        <f>$H$25*100*($H$6-$H$5*K10)</f>
        <v>0</v>
      </c>
      <c r="AA25" s="32">
        <f>$H$25*100*($H$6-$H$5*L10)</f>
        <v>-8427.5093275118525</v>
      </c>
      <c r="AB25" s="32">
        <f>$H$25*100*($H$6-$H$5*M10)</f>
        <v>-16855.018655023705</v>
      </c>
    </row>
    <row r="26" spans="1:28" ht="16.8" x14ac:dyDescent="0.3">
      <c r="A26" s="24">
        <f t="shared" si="11"/>
        <v>0</v>
      </c>
      <c r="B26" s="10">
        <f t="shared" si="12"/>
        <v>0</v>
      </c>
      <c r="C26" s="9">
        <f t="shared" si="13"/>
        <v>0</v>
      </c>
      <c r="D26" s="9">
        <f>IF(A26=0,0,($D$7*($D$10-14)))</f>
        <v>0</v>
      </c>
      <c r="G26" s="34">
        <v>16</v>
      </c>
      <c r="H26" s="30">
        <f t="shared" si="8"/>
        <v>136.35710091914177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2"/>
      <c r="T26" s="32"/>
      <c r="U26" s="32"/>
      <c r="V26" s="32"/>
      <c r="W26" s="32"/>
      <c r="X26" s="32">
        <f>H26*H6*100</f>
        <v>40907.130275742529</v>
      </c>
      <c r="Y26" s="32">
        <f>$H$26*100*($H$6-$H$5)</f>
        <v>27271.420183828355</v>
      </c>
      <c r="Z26" s="32">
        <f>$H$26*100*($H$6-$H$5*J10)</f>
        <v>13635.710091914178</v>
      </c>
      <c r="AA26" s="32">
        <f>$H$26*100*($H$6-$H$5*K10)</f>
        <v>0</v>
      </c>
      <c r="AB26" s="32">
        <f>$H$26*100*($H$6-$H$5*L10)</f>
        <v>-13635.710091914178</v>
      </c>
    </row>
    <row r="27" spans="1:28" ht="16.8" x14ac:dyDescent="0.3">
      <c r="A27" s="24">
        <f t="shared" si="11"/>
        <v>0</v>
      </c>
      <c r="B27" s="10">
        <f t="shared" si="12"/>
        <v>0</v>
      </c>
      <c r="C27" s="9">
        <f t="shared" si="13"/>
        <v>0</v>
      </c>
      <c r="D27" s="9">
        <f>IF(A27=0,0,($D$7*($D$10-15)))</f>
        <v>0</v>
      </c>
      <c r="G27" s="34">
        <v>17</v>
      </c>
      <c r="H27" s="30">
        <f t="shared" si="8"/>
        <v>220.62578928717141</v>
      </c>
      <c r="Y27" s="32">
        <f>$H$27*$H$6*100</f>
        <v>66187.736786151421</v>
      </c>
      <c r="Z27" s="32">
        <f>$H$27*100*($H$6-$H$5*I$10)</f>
        <v>44125.157857434286</v>
      </c>
      <c r="AA27" s="32">
        <f t="shared" ref="AA27:AB27" si="41">$H$27*100*($H$6-$H$5*J$10)</f>
        <v>22062.578928717143</v>
      </c>
      <c r="AB27" s="32">
        <f t="shared" si="41"/>
        <v>0</v>
      </c>
    </row>
    <row r="28" spans="1:28" ht="16.8" x14ac:dyDescent="0.3">
      <c r="A28" s="24">
        <f t="shared" si="11"/>
        <v>0</v>
      </c>
      <c r="B28" s="10">
        <f t="shared" si="12"/>
        <v>0</v>
      </c>
      <c r="C28" s="9">
        <f t="shared" si="13"/>
        <v>0</v>
      </c>
      <c r="D28" s="9">
        <f>IF(A28=0,0,($D$7*($D$10-16)))</f>
        <v>0</v>
      </c>
      <c r="G28" s="34">
        <v>18</v>
      </c>
      <c r="H28" s="30">
        <f t="shared" si="8"/>
        <v>356.97252706664335</v>
      </c>
      <c r="Z28" s="32">
        <f>$H$28*$H$6*100</f>
        <v>107091.758119993</v>
      </c>
      <c r="AA28" s="32">
        <f>$H$28*100*($H$6-$H$5*I$10)</f>
        <v>71394.505413328676</v>
      </c>
      <c r="AB28" s="32">
        <f>$H$28*100*($H$6-$H$5*J$10)</f>
        <v>35697.252706664338</v>
      </c>
    </row>
    <row r="29" spans="1:28" ht="16.8" x14ac:dyDescent="0.3">
      <c r="A29" s="24">
        <f t="shared" si="11"/>
        <v>0</v>
      </c>
      <c r="B29" s="10">
        <f t="shared" si="12"/>
        <v>0</v>
      </c>
      <c r="C29" s="9">
        <f t="shared" si="13"/>
        <v>0</v>
      </c>
      <c r="D29" s="9">
        <f>IF(A29=0,0,($D$7*($D$10-17)))</f>
        <v>0</v>
      </c>
      <c r="G29" s="34">
        <v>19</v>
      </c>
      <c r="H29" s="30">
        <f t="shared" si="8"/>
        <v>577.58154879382903</v>
      </c>
      <c r="AA29" s="32">
        <f>$H$29*$H$6*100</f>
        <v>173274.46463814873</v>
      </c>
      <c r="AB29" s="32">
        <f>$H$29*100*($H$6-$H$5*I$10)</f>
        <v>115516.30975876581</v>
      </c>
    </row>
    <row r="30" spans="1:28" ht="16.8" x14ac:dyDescent="0.3">
      <c r="A30" s="24">
        <f t="shared" si="11"/>
        <v>0</v>
      </c>
      <c r="B30" s="10">
        <f t="shared" si="12"/>
        <v>0</v>
      </c>
      <c r="C30" s="9">
        <f t="shared" si="13"/>
        <v>0</v>
      </c>
      <c r="D30" s="9">
        <f>IF(A30=0,0,($D$7*($D$10-18)))</f>
        <v>0</v>
      </c>
      <c r="G30" s="34">
        <v>20</v>
      </c>
      <c r="H30" s="30">
        <f t="shared" si="8"/>
        <v>934.52694594841546</v>
      </c>
      <c r="AB30" s="32">
        <f>$H$30*$H$6*100</f>
        <v>280358.08378452464</v>
      </c>
    </row>
    <row r="31" spans="1:28" ht="16.8" x14ac:dyDescent="0.3">
      <c r="A31" s="24">
        <f>IF(A30=0,0,IF(VALUE(MID(A30,2,2))&gt;=$D$10,0,"L"&amp;VALUE(MID(A30,2,2))+1))</f>
        <v>0</v>
      </c>
      <c r="B31" s="10">
        <f>IF(A31&lt;&gt;0,B30*$D$9,0)</f>
        <v>0</v>
      </c>
      <c r="C31" s="9">
        <f t="shared" si="13"/>
        <v>0</v>
      </c>
      <c r="D31" s="9">
        <f>IF(A31=0,0,($D$7*($D$10-19)))</f>
        <v>0</v>
      </c>
      <c r="G31" s="36" t="s">
        <v>48</v>
      </c>
      <c r="H31" s="42">
        <f>SUM(H11:H26)</f>
        <v>356.83784674299574</v>
      </c>
      <c r="I31" s="37">
        <f>SUMIF(I11:I30, "&lt;0")</f>
        <v>0</v>
      </c>
      <c r="J31" s="37">
        <f t="shared" ref="J31:AB31" si="42">SUMIF(J11:J30, "&lt;0")</f>
        <v>0</v>
      </c>
      <c r="K31" s="37">
        <f t="shared" si="42"/>
        <v>0</v>
      </c>
      <c r="L31" s="37">
        <f t="shared" si="42"/>
        <v>0</v>
      </c>
      <c r="M31" s="37">
        <f t="shared" si="42"/>
        <v>-10</v>
      </c>
      <c r="N31" s="37">
        <f t="shared" si="42"/>
        <v>-36.180000000000007</v>
      </c>
      <c r="O31" s="37">
        <f t="shared" si="42"/>
        <v>-88.539240000000007</v>
      </c>
      <c r="P31" s="37">
        <f t="shared" si="42"/>
        <v>-183.25649032000001</v>
      </c>
      <c r="Q31" s="37">
        <f t="shared" si="42"/>
        <v>-346.50900133776003</v>
      </c>
      <c r="R31" s="37">
        <f t="shared" si="42"/>
        <v>-620.65156416449588</v>
      </c>
      <c r="S31" s="37">
        <f t="shared" si="42"/>
        <v>-1074.2142308181544</v>
      </c>
      <c r="T31" s="37">
        <f t="shared" si="42"/>
        <v>-1818.078625463774</v>
      </c>
      <c r="U31" s="37">
        <f t="shared" si="42"/>
        <v>-3031.6512160003867</v>
      </c>
      <c r="V31" s="37">
        <f t="shared" si="42"/>
        <v>-5005.2116674886256</v>
      </c>
      <c r="W31" s="37">
        <f t="shared" si="42"/>
        <v>-8208.4324779965973</v>
      </c>
      <c r="X31" s="37">
        <f t="shared" si="42"/>
        <v>-13401.243749398496</v>
      </c>
      <c r="Y31" s="37">
        <f t="shared" si="42"/>
        <v>-21813.212386526768</v>
      </c>
      <c r="Z31" s="37">
        <f t="shared" si="42"/>
        <v>-35433.777641400316</v>
      </c>
      <c r="AA31" s="37">
        <f t="shared" si="42"/>
        <v>-57481.852223785711</v>
      </c>
      <c r="AB31" s="37">
        <f t="shared" si="42"/>
        <v>-93165.636898085286</v>
      </c>
    </row>
    <row r="32" spans="1:28" ht="16.8" x14ac:dyDescent="0.3">
      <c r="A32" s="24">
        <f t="shared" si="11"/>
        <v>0</v>
      </c>
      <c r="B32" s="10">
        <f t="shared" si="12"/>
        <v>0</v>
      </c>
      <c r="C32" s="9">
        <f t="shared" si="13"/>
        <v>0</v>
      </c>
      <c r="D32" s="9">
        <f t="shared" ref="D32:D34" si="43">IF(A32=0,0,($D$7*($D$10-20)))</f>
        <v>0</v>
      </c>
      <c r="I32" s="60">
        <f t="shared" ref="I32:AB32" si="44">SUM(I11:I30)</f>
        <v>30.000000000000004</v>
      </c>
      <c r="J32" s="60">
        <f t="shared" si="44"/>
        <v>68.540000000000006</v>
      </c>
      <c r="K32" s="60">
        <f t="shared" si="44"/>
        <v>120.89772000000002</v>
      </c>
      <c r="L32" s="60">
        <f t="shared" si="44"/>
        <v>195.61251096000007</v>
      </c>
      <c r="M32" s="60">
        <f t="shared" si="44"/>
        <v>306.50104273328009</v>
      </c>
      <c r="N32" s="60">
        <f t="shared" si="44"/>
        <v>475.91868714244731</v>
      </c>
      <c r="O32" s="60">
        <f t="shared" si="44"/>
        <v>740.03643579647974</v>
      </c>
      <c r="P32" s="60">
        <f t="shared" si="44"/>
        <v>1157.3789531187044</v>
      </c>
      <c r="Q32" s="60">
        <f t="shared" si="44"/>
        <v>1822.6391461460639</v>
      </c>
      <c r="R32" s="60">
        <f t="shared" si="44"/>
        <v>2889.0301384643317</v>
      </c>
      <c r="S32" s="60">
        <f t="shared" si="44"/>
        <v>4604.4507640352886</v>
      </c>
      <c r="T32" s="60">
        <f t="shared" si="44"/>
        <v>7370.0013362090976</v>
      </c>
      <c r="U32" s="60">
        <f t="shared" si="44"/>
        <v>11834.66216198632</v>
      </c>
      <c r="V32" s="60">
        <f t="shared" si="44"/>
        <v>19048.483378093868</v>
      </c>
      <c r="W32" s="60">
        <f t="shared" si="44"/>
        <v>30710.446105755876</v>
      </c>
      <c r="X32" s="60">
        <f t="shared" si="44"/>
        <v>49569.501799113015</v>
      </c>
      <c r="Y32" s="60">
        <f t="shared" si="44"/>
        <v>80073.453910964861</v>
      </c>
      <c r="Z32" s="60">
        <f t="shared" si="44"/>
        <v>129418.84842794115</v>
      </c>
      <c r="AA32" s="60">
        <f t="shared" si="44"/>
        <v>209249.69675640884</v>
      </c>
      <c r="AB32" s="60">
        <f t="shared" si="44"/>
        <v>338406.00935186952</v>
      </c>
    </row>
    <row r="33" spans="1:29" ht="16.8" x14ac:dyDescent="0.3">
      <c r="A33" s="24">
        <f t="shared" si="11"/>
        <v>0</v>
      </c>
      <c r="B33" s="10">
        <f t="shared" si="12"/>
        <v>0</v>
      </c>
      <c r="C33" s="9">
        <f t="shared" si="13"/>
        <v>0</v>
      </c>
      <c r="D33" s="9">
        <f t="shared" si="43"/>
        <v>0</v>
      </c>
      <c r="G33" s="1"/>
      <c r="I33" s="39">
        <f>SUM($H11:$H11)</f>
        <v>0.1</v>
      </c>
      <c r="J33" s="39">
        <f>SUM($H11:$H12)</f>
        <v>0.26180000000000003</v>
      </c>
      <c r="K33" s="39">
        <f>SUM($H11:$H13)</f>
        <v>0.52359240000000007</v>
      </c>
      <c r="L33" s="39">
        <f>SUM($H11:$H14)</f>
        <v>0.94717250320000024</v>
      </c>
      <c r="M33" s="39">
        <f>SUM($H11:$H15)</f>
        <v>1.6325251101776006</v>
      </c>
      <c r="N33" s="39">
        <f>SUM($H11:$H16)</f>
        <v>2.7414256282673577</v>
      </c>
      <c r="O33" s="39">
        <f>SUM($H11:$H17)</f>
        <v>4.5356266665365848</v>
      </c>
      <c r="P33" s="39">
        <f>SUM($H11:$H18)</f>
        <v>7.4386439464561951</v>
      </c>
      <c r="Q33" s="39">
        <f>SUM($H11:$H19)</f>
        <v>12.135725905366126</v>
      </c>
      <c r="R33" s="39">
        <f>SUM($H11:$H20)</f>
        <v>19.735604514882393</v>
      </c>
      <c r="S33" s="39">
        <f>SUM($H11:$H21)</f>
        <v>32.032208105079718</v>
      </c>
      <c r="T33" s="39">
        <f>SUM($H11:$H22)</f>
        <v>51.928112714018987</v>
      </c>
      <c r="U33" s="39">
        <f>SUM($H11:$H23)</f>
        <v>84.119686371282725</v>
      </c>
      <c r="V33" s="39">
        <f>SUM($H11:$H24)</f>
        <v>136.20565254873546</v>
      </c>
      <c r="W33" s="39">
        <f>SUM($H11:$H25)</f>
        <v>220.48074582385397</v>
      </c>
      <c r="X33" s="39">
        <f>SUM($H11:$H26)</f>
        <v>356.83784674299574</v>
      </c>
      <c r="Y33" s="39">
        <f>SUM($H11:$H27)</f>
        <v>577.46363603016721</v>
      </c>
      <c r="Z33" s="39">
        <f>SUM($H11:$H28)</f>
        <v>934.43616309681056</v>
      </c>
      <c r="AA33" s="39">
        <f>SUM($H11:$H29)</f>
        <v>1512.0177118906395</v>
      </c>
      <c r="AB33" s="39">
        <f>SUM($H11:$H30)</f>
        <v>2446.5446578390547</v>
      </c>
    </row>
    <row r="34" spans="1:29" ht="17.399999999999999" thickBot="1" x14ac:dyDescent="0.35">
      <c r="A34" s="24">
        <f t="shared" si="11"/>
        <v>0</v>
      </c>
      <c r="B34" s="10">
        <f t="shared" si="12"/>
        <v>0</v>
      </c>
      <c r="C34" s="9">
        <f t="shared" si="13"/>
        <v>0</v>
      </c>
      <c r="D34" s="9">
        <f t="shared" si="43"/>
        <v>0</v>
      </c>
    </row>
    <row r="35" spans="1:29" ht="18" thickTop="1" thickBot="1" x14ac:dyDescent="0.3">
      <c r="A35" s="59" t="s">
        <v>12</v>
      </c>
      <c r="B35" s="25">
        <f>SUM(B13:B34)</f>
        <v>19.735604514882393</v>
      </c>
      <c r="C35" s="25">
        <f>SUM(C13:C34)</f>
        <v>9094.9536480011593</v>
      </c>
      <c r="D35" s="26">
        <f>MAX(D13:D34)</f>
        <v>27</v>
      </c>
    </row>
    <row r="36" spans="1:29" ht="13.8" thickTop="1" x14ac:dyDescent="0.25"/>
    <row r="37" spans="1:29" x14ac:dyDescent="0.25"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 spans="1:29" x14ac:dyDescent="0.25"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 spans="1:29" x14ac:dyDescent="0.25"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 spans="1:29" x14ac:dyDescent="0.25"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 spans="1:29" x14ac:dyDescent="0.25"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 spans="1:29" x14ac:dyDescent="0.25"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 spans="1:29" x14ac:dyDescent="0.25"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 spans="1:29" x14ac:dyDescent="0.25"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 spans="1:29" x14ac:dyDescent="0.25"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 spans="1:29" x14ac:dyDescent="0.25"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 spans="1:29" x14ac:dyDescent="0.25"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 spans="1:29" x14ac:dyDescent="0.25"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 spans="5:29" x14ac:dyDescent="0.25"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 spans="5:29" x14ac:dyDescent="0.25"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 spans="5:29" x14ac:dyDescent="0.25"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 spans="5:29" x14ac:dyDescent="0.25"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 spans="5:29" x14ac:dyDescent="0.25"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 spans="5:29" x14ac:dyDescent="0.25"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 spans="5:29" x14ac:dyDescent="0.25"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 spans="5:29" x14ac:dyDescent="0.25"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 spans="5:29" x14ac:dyDescent="0.25"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 spans="5:29" x14ac:dyDescent="0.25"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 spans="5:29" x14ac:dyDescent="0.25"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 spans="5:29" x14ac:dyDescent="0.25"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 spans="5:29" x14ac:dyDescent="0.25"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 spans="5:29" x14ac:dyDescent="0.25"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 spans="5:29" x14ac:dyDescent="0.25"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spans="5:29" x14ac:dyDescent="0.25"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 spans="5:29" x14ac:dyDescent="0.25"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 spans="5:29" x14ac:dyDescent="0.25"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spans="5:29" x14ac:dyDescent="0.25"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spans="5:29" x14ac:dyDescent="0.25"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spans="5:29" x14ac:dyDescent="0.25"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spans="5:29" x14ac:dyDescent="0.25"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spans="5:29" x14ac:dyDescent="0.25"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spans="5:29" x14ac:dyDescent="0.25"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spans="5:29" x14ac:dyDescent="0.25"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spans="5:29" x14ac:dyDescent="0.25"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spans="5:29" x14ac:dyDescent="0.25"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spans="5:29" x14ac:dyDescent="0.25"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spans="5:29" x14ac:dyDescent="0.25"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spans="5:29" x14ac:dyDescent="0.25"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spans="5:29" x14ac:dyDescent="0.25"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spans="5:29" x14ac:dyDescent="0.25"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spans="5:25" x14ac:dyDescent="0.25"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spans="5:25" x14ac:dyDescent="0.25"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spans="5:25" x14ac:dyDescent="0.25"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spans="5:25" x14ac:dyDescent="0.25"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spans="5:25" x14ac:dyDescent="0.25"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spans="5:25" x14ac:dyDescent="0.25"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spans="5:25" x14ac:dyDescent="0.25"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spans="5:25" x14ac:dyDescent="0.25"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spans="5:25" x14ac:dyDescent="0.25"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spans="5:25" x14ac:dyDescent="0.25"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spans="5:25" x14ac:dyDescent="0.25"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spans="5:25" x14ac:dyDescent="0.25"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spans="5:25" x14ac:dyDescent="0.25"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spans="5:25" x14ac:dyDescent="0.25"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spans="5:25" x14ac:dyDescent="0.25"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spans="5:25" x14ac:dyDescent="0.25"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spans="5:25" x14ac:dyDescent="0.25"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spans="5:25" x14ac:dyDescent="0.25"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spans="5:25" x14ac:dyDescent="0.25"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</sheetData>
  <protectedRanges>
    <protectedRange sqref="D2:D10" name="DATA_2"/>
  </protectedRanges>
  <mergeCells count="7">
    <mergeCell ref="A1:D1"/>
    <mergeCell ref="J3:K3"/>
    <mergeCell ref="L3:M3"/>
    <mergeCell ref="N3:P3"/>
    <mergeCell ref="J2:K2"/>
    <mergeCell ref="L2:M2"/>
    <mergeCell ref="N2:P2"/>
  </mergeCells>
  <phoneticPr fontId="7"/>
  <conditionalFormatting sqref="I10">
    <cfRule type="expression" dxfId="39" priority="73">
      <formula>$I$10=$D$10</formula>
    </cfRule>
  </conditionalFormatting>
  <conditionalFormatting sqref="J10">
    <cfRule type="expression" dxfId="37" priority="74">
      <formula>$J$10=$D$10</formula>
    </cfRule>
  </conditionalFormatting>
  <conditionalFormatting sqref="K10">
    <cfRule type="expression" dxfId="35" priority="75">
      <formula>$K$10=$D$10</formula>
    </cfRule>
  </conditionalFormatting>
  <conditionalFormatting sqref="L10">
    <cfRule type="expression" dxfId="33" priority="76">
      <formula>$L$10=$D$10</formula>
    </cfRule>
  </conditionalFormatting>
  <conditionalFormatting sqref="M10">
    <cfRule type="expression" dxfId="31" priority="77">
      <formula>$M$10=$D$10</formula>
    </cfRule>
  </conditionalFormatting>
  <conditionalFormatting sqref="N10">
    <cfRule type="expression" dxfId="29" priority="78">
      <formula>$N$10=$D$10</formula>
    </cfRule>
  </conditionalFormatting>
  <conditionalFormatting sqref="O10">
    <cfRule type="expression" dxfId="27" priority="79">
      <formula>$O$10=$D$10</formula>
    </cfRule>
  </conditionalFormatting>
  <conditionalFormatting sqref="P10">
    <cfRule type="expression" dxfId="25" priority="80">
      <formula>$P$10=$D$10</formula>
    </cfRule>
  </conditionalFormatting>
  <conditionalFormatting sqref="Q10">
    <cfRule type="expression" dxfId="23" priority="81">
      <formula>$Q$10=$D$10</formula>
    </cfRule>
  </conditionalFormatting>
  <conditionalFormatting sqref="R10">
    <cfRule type="expression" dxfId="21" priority="82">
      <formula>$R$10=$D$10</formula>
    </cfRule>
  </conditionalFormatting>
  <conditionalFormatting sqref="S10">
    <cfRule type="expression" dxfId="19" priority="83">
      <formula>$S$10=$D$10</formula>
    </cfRule>
  </conditionalFormatting>
  <conditionalFormatting sqref="T10">
    <cfRule type="expression" dxfId="17" priority="84">
      <formula>$T$10=$D$10</formula>
    </cfRule>
  </conditionalFormatting>
  <conditionalFormatting sqref="U10">
    <cfRule type="expression" dxfId="15" priority="85">
      <formula>$U$10=$D$10</formula>
    </cfRule>
  </conditionalFormatting>
  <conditionalFormatting sqref="V10">
    <cfRule type="expression" dxfId="13" priority="86">
      <formula>$V$10=$D$10</formula>
    </cfRule>
  </conditionalFormatting>
  <conditionalFormatting sqref="W10">
    <cfRule type="expression" dxfId="11" priority="87">
      <formula>$W$10=$D$10</formula>
    </cfRule>
  </conditionalFormatting>
  <conditionalFormatting sqref="X10">
    <cfRule type="expression" dxfId="9" priority="88">
      <formula>$X$10=$D$10</formula>
    </cfRule>
  </conditionalFormatting>
  <conditionalFormatting sqref="Y10">
    <cfRule type="expression" dxfId="7" priority="24">
      <formula>$Y$10=$D$10</formula>
    </cfRule>
  </conditionalFormatting>
  <conditionalFormatting sqref="Z10">
    <cfRule type="expression" dxfId="5" priority="23">
      <formula>$Z$10=$D$10</formula>
    </cfRule>
  </conditionalFormatting>
  <conditionalFormatting sqref="AA10">
    <cfRule type="expression" dxfId="3" priority="22">
      <formula>$AA$10=$D$10</formula>
    </cfRule>
  </conditionalFormatting>
  <conditionalFormatting sqref="AB10">
    <cfRule type="expression" dxfId="1" priority="21">
      <formula>$AB$10=$D$10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29"/>
  <sheetViews>
    <sheetView workbookViewId="0">
      <selection activeCell="T24" sqref="T24"/>
    </sheetView>
  </sheetViews>
  <sheetFormatPr defaultColWidth="9.09765625" defaultRowHeight="13.8" x14ac:dyDescent="0.45"/>
  <cols>
    <col min="1" max="1" width="9.09765625" style="61"/>
    <col min="2" max="2" width="6" style="61" customWidth="1"/>
    <col min="3" max="4" width="9.09765625" style="19"/>
    <col min="5" max="5" width="15.3984375" style="19" bestFit="1" customWidth="1"/>
    <col min="6" max="6" width="9.09765625" style="19"/>
    <col min="7" max="20" width="9.09765625" style="61"/>
    <col min="21" max="21" width="10.3984375" style="61" customWidth="1"/>
    <col min="22" max="16384" width="9.09765625" style="61"/>
  </cols>
  <sheetData>
    <row r="1" spans="2:23" x14ac:dyDescent="0.45">
      <c r="B1" s="78" t="s">
        <v>80</v>
      </c>
      <c r="C1" s="78"/>
      <c r="D1" s="78"/>
      <c r="E1" s="13" t="s">
        <v>52</v>
      </c>
      <c r="F1" s="62">
        <v>1</v>
      </c>
      <c r="G1" s="62">
        <v>1.6</v>
      </c>
      <c r="H1" s="62">
        <v>1.7</v>
      </c>
    </row>
    <row r="2" spans="2:23" x14ac:dyDescent="0.45">
      <c r="B2" s="78" t="s">
        <v>81</v>
      </c>
      <c r="C2" s="78"/>
      <c r="D2" s="79"/>
      <c r="E2" s="69"/>
      <c r="F2" s="14" t="s">
        <v>86</v>
      </c>
      <c r="G2" s="82"/>
      <c r="H2" s="83">
        <v>5</v>
      </c>
      <c r="I2" s="83">
        <v>5</v>
      </c>
      <c r="J2" s="83">
        <v>5</v>
      </c>
      <c r="K2" s="83">
        <v>5</v>
      </c>
      <c r="L2" s="83">
        <v>5</v>
      </c>
      <c r="M2" s="83">
        <v>5</v>
      </c>
      <c r="N2" s="84">
        <v>5</v>
      </c>
      <c r="O2" s="96">
        <v>3</v>
      </c>
      <c r="P2" s="97">
        <v>3</v>
      </c>
      <c r="Q2" s="98">
        <v>3</v>
      </c>
      <c r="R2" s="102">
        <v>2</v>
      </c>
      <c r="S2" s="103">
        <v>2</v>
      </c>
      <c r="T2" s="103">
        <v>2</v>
      </c>
      <c r="U2" s="104">
        <v>2</v>
      </c>
    </row>
    <row r="3" spans="2:23" x14ac:dyDescent="0.45">
      <c r="B3" s="78"/>
      <c r="C3" s="78"/>
      <c r="D3" s="79"/>
      <c r="E3" s="69"/>
      <c r="F3" s="69" t="s">
        <v>85</v>
      </c>
      <c r="G3" s="85"/>
      <c r="H3" s="86">
        <f>H2</f>
        <v>5</v>
      </c>
      <c r="I3" s="86">
        <f>SUM($H$2:I2)</f>
        <v>10</v>
      </c>
      <c r="J3" s="86">
        <f>SUM($H$2:J2)</f>
        <v>15</v>
      </c>
      <c r="K3" s="86">
        <f>SUM($H$2:K2)</f>
        <v>20</v>
      </c>
      <c r="L3" s="86">
        <f>SUM($H$2:L2)</f>
        <v>25</v>
      </c>
      <c r="M3" s="86">
        <f>SUM($H$2:M2)</f>
        <v>30</v>
      </c>
      <c r="N3" s="87">
        <f>SUM($H$2:N2)</f>
        <v>35</v>
      </c>
      <c r="O3" s="99">
        <f>SUM($H$2:O2)</f>
        <v>38</v>
      </c>
      <c r="P3" s="100">
        <f>SUM($H$2:P2)</f>
        <v>41</v>
      </c>
      <c r="Q3" s="101">
        <f>SUM($H$2:Q2)</f>
        <v>44</v>
      </c>
      <c r="R3" s="105">
        <f>SUM($H$2:R2)</f>
        <v>46</v>
      </c>
      <c r="S3" s="106">
        <f>SUM($H$2:S2)</f>
        <v>48</v>
      </c>
      <c r="T3" s="106">
        <f>SUM($H$2:T2)</f>
        <v>50</v>
      </c>
      <c r="U3" s="107">
        <f>SUM($H$2:U2)</f>
        <v>52</v>
      </c>
    </row>
    <row r="4" spans="2:23" x14ac:dyDescent="0.45">
      <c r="B4" s="80" t="s">
        <v>82</v>
      </c>
      <c r="C4" s="80"/>
      <c r="D4" s="81"/>
      <c r="E4" s="15" t="s">
        <v>15</v>
      </c>
      <c r="F4" s="15"/>
      <c r="G4" s="110">
        <v>30</v>
      </c>
      <c r="H4" s="111">
        <v>30</v>
      </c>
      <c r="I4" s="111">
        <v>30</v>
      </c>
      <c r="J4" s="111">
        <v>30</v>
      </c>
      <c r="K4" s="111">
        <v>30</v>
      </c>
      <c r="L4" s="111">
        <v>30</v>
      </c>
      <c r="M4" s="111">
        <v>30</v>
      </c>
      <c r="N4" s="112">
        <v>30</v>
      </c>
      <c r="O4" s="113">
        <v>5</v>
      </c>
      <c r="P4" s="114">
        <v>5</v>
      </c>
      <c r="Q4" s="115">
        <v>5</v>
      </c>
      <c r="R4" s="116">
        <v>3</v>
      </c>
      <c r="S4" s="117">
        <v>3</v>
      </c>
      <c r="T4" s="117">
        <v>3</v>
      </c>
      <c r="U4" s="118">
        <v>3</v>
      </c>
    </row>
    <row r="5" spans="2:23" ht="14.4" x14ac:dyDescent="0.45">
      <c r="B5" s="63" t="s">
        <v>83</v>
      </c>
      <c r="C5" s="64">
        <f>F1</f>
        <v>1</v>
      </c>
      <c r="D5" s="64">
        <f>G1</f>
        <v>1.6</v>
      </c>
      <c r="E5" s="64">
        <f>H1</f>
        <v>1.7</v>
      </c>
      <c r="F5" s="70" t="s">
        <v>84</v>
      </c>
      <c r="G5" s="119" t="s">
        <v>33</v>
      </c>
      <c r="H5" s="120" t="s">
        <v>34</v>
      </c>
      <c r="I5" s="120" t="s">
        <v>35</v>
      </c>
      <c r="J5" s="120" t="s">
        <v>36</v>
      </c>
      <c r="K5" s="120" t="s">
        <v>37</v>
      </c>
      <c r="L5" s="120" t="s">
        <v>38</v>
      </c>
      <c r="M5" s="120" t="s">
        <v>39</v>
      </c>
      <c r="N5" s="121" t="s">
        <v>40</v>
      </c>
      <c r="O5" s="122" t="s">
        <v>41</v>
      </c>
      <c r="P5" s="120" t="s">
        <v>42</v>
      </c>
      <c r="Q5" s="121" t="s">
        <v>43</v>
      </c>
      <c r="R5" s="122" t="s">
        <v>44</v>
      </c>
      <c r="S5" s="120" t="s">
        <v>45</v>
      </c>
      <c r="T5" s="120" t="s">
        <v>46</v>
      </c>
      <c r="U5" s="121" t="s">
        <v>47</v>
      </c>
    </row>
    <row r="6" spans="2:23" x14ac:dyDescent="0.45">
      <c r="B6" s="65" t="s">
        <v>33</v>
      </c>
      <c r="C6" s="16">
        <v>0.01</v>
      </c>
      <c r="D6" s="17">
        <f>C6</f>
        <v>0.01</v>
      </c>
      <c r="E6" s="17">
        <f>C6</f>
        <v>0.01</v>
      </c>
      <c r="F6" s="68">
        <v>0.01</v>
      </c>
      <c r="G6" s="108">
        <f>F6*G4*100</f>
        <v>30</v>
      </c>
      <c r="H6" s="49">
        <f>$F$6*(H4-H3)*100</f>
        <v>25</v>
      </c>
      <c r="I6" s="49">
        <f t="shared" ref="I6:U6" si="0">$F$6*(I4-I3)*100</f>
        <v>20</v>
      </c>
      <c r="J6" s="49">
        <f t="shared" si="0"/>
        <v>15</v>
      </c>
      <c r="K6" s="49">
        <f t="shared" si="0"/>
        <v>10</v>
      </c>
      <c r="L6" s="49">
        <f t="shared" si="0"/>
        <v>5</v>
      </c>
      <c r="M6" s="49">
        <f t="shared" si="0"/>
        <v>0</v>
      </c>
      <c r="N6" s="109">
        <f t="shared" si="0"/>
        <v>-5</v>
      </c>
      <c r="O6" s="52">
        <f t="shared" si="0"/>
        <v>-33</v>
      </c>
      <c r="P6" s="49">
        <f t="shared" si="0"/>
        <v>-36</v>
      </c>
      <c r="Q6" s="109">
        <f t="shared" si="0"/>
        <v>-39</v>
      </c>
      <c r="R6" s="52">
        <f t="shared" si="0"/>
        <v>-43</v>
      </c>
      <c r="S6" s="49">
        <f t="shared" si="0"/>
        <v>-45</v>
      </c>
      <c r="T6" s="49">
        <f t="shared" si="0"/>
        <v>-47</v>
      </c>
      <c r="U6" s="109">
        <f t="shared" si="0"/>
        <v>-49</v>
      </c>
      <c r="V6" s="66"/>
      <c r="W6" s="66"/>
    </row>
    <row r="7" spans="2:23" x14ac:dyDescent="0.45">
      <c r="B7" s="65" t="s">
        <v>34</v>
      </c>
      <c r="C7" s="17">
        <f>C6*$F$1</f>
        <v>0.01</v>
      </c>
      <c r="D7" s="17">
        <f t="shared" ref="D7:D20" si="1">D6*$G$1</f>
        <v>1.6E-2</v>
      </c>
      <c r="E7" s="17">
        <f t="shared" ref="E7:E20" si="2">E6*$H$1</f>
        <v>1.7000000000000001E-2</v>
      </c>
      <c r="F7" s="17">
        <f>F6*$F$1</f>
        <v>0.01</v>
      </c>
      <c r="G7" s="50"/>
      <c r="H7" s="53">
        <f>F7*H4*100</f>
        <v>30</v>
      </c>
      <c r="I7" s="18">
        <f>$F$7*(I4-(I3-H3))*100</f>
        <v>25</v>
      </c>
      <c r="J7" s="18">
        <f>$F$7*100*(J4-(J3-$H$3))</f>
        <v>20</v>
      </c>
      <c r="K7" s="18">
        <f t="shared" ref="K7:U7" si="3">$F$7*100*(K4-(K3-$H$3))</f>
        <v>15</v>
      </c>
      <c r="L7" s="18">
        <f t="shared" si="3"/>
        <v>10</v>
      </c>
      <c r="M7" s="18">
        <f t="shared" si="3"/>
        <v>5</v>
      </c>
      <c r="N7" s="51">
        <f t="shared" si="3"/>
        <v>0</v>
      </c>
      <c r="O7" s="50">
        <f t="shared" si="3"/>
        <v>-28</v>
      </c>
      <c r="P7" s="18">
        <f t="shared" si="3"/>
        <v>-31</v>
      </c>
      <c r="Q7" s="51">
        <f t="shared" si="3"/>
        <v>-34</v>
      </c>
      <c r="R7" s="50">
        <f t="shared" si="3"/>
        <v>-38</v>
      </c>
      <c r="S7" s="18">
        <f t="shared" si="3"/>
        <v>-40</v>
      </c>
      <c r="T7" s="18">
        <f t="shared" si="3"/>
        <v>-42</v>
      </c>
      <c r="U7" s="51">
        <f t="shared" si="3"/>
        <v>-44</v>
      </c>
      <c r="V7" s="66"/>
      <c r="W7" s="66"/>
    </row>
    <row r="8" spans="2:23" x14ac:dyDescent="0.45">
      <c r="B8" s="65" t="s">
        <v>35</v>
      </c>
      <c r="C8" s="17">
        <f>C7*$F$1</f>
        <v>0.01</v>
      </c>
      <c r="D8" s="17">
        <f t="shared" si="1"/>
        <v>2.5600000000000001E-2</v>
      </c>
      <c r="E8" s="17">
        <f t="shared" si="2"/>
        <v>2.8900000000000002E-2</v>
      </c>
      <c r="F8" s="17">
        <f>F7*$F$1</f>
        <v>0.01</v>
      </c>
      <c r="G8" s="50"/>
      <c r="H8" s="18"/>
      <c r="I8" s="53">
        <f>F8*I4*100</f>
        <v>30</v>
      </c>
      <c r="J8" s="18">
        <f>$F$8*100*(J4 -(J3-$I$3))</f>
        <v>25</v>
      </c>
      <c r="K8" s="18">
        <f t="shared" ref="K8:U8" si="4">$F$8*100*(K4 -(K3-$I$3))</f>
        <v>20</v>
      </c>
      <c r="L8" s="18">
        <f t="shared" si="4"/>
        <v>15</v>
      </c>
      <c r="M8" s="18">
        <f t="shared" si="4"/>
        <v>10</v>
      </c>
      <c r="N8" s="51">
        <f t="shared" si="4"/>
        <v>5</v>
      </c>
      <c r="O8" s="50">
        <f t="shared" si="4"/>
        <v>-23</v>
      </c>
      <c r="P8" s="18">
        <f t="shared" si="4"/>
        <v>-26</v>
      </c>
      <c r="Q8" s="51">
        <f t="shared" si="4"/>
        <v>-29</v>
      </c>
      <c r="R8" s="50">
        <f t="shared" si="4"/>
        <v>-33</v>
      </c>
      <c r="S8" s="18">
        <f t="shared" si="4"/>
        <v>-35</v>
      </c>
      <c r="T8" s="18">
        <f t="shared" si="4"/>
        <v>-37</v>
      </c>
      <c r="U8" s="51">
        <f t="shared" si="4"/>
        <v>-39</v>
      </c>
      <c r="V8" s="66"/>
      <c r="W8" s="66"/>
    </row>
    <row r="9" spans="2:23" x14ac:dyDescent="0.45">
      <c r="B9" s="65" t="s">
        <v>36</v>
      </c>
      <c r="C9" s="17">
        <f t="shared" ref="C9:C20" si="5">C8*$F$1</f>
        <v>0.01</v>
      </c>
      <c r="D9" s="17">
        <f t="shared" si="1"/>
        <v>4.0960000000000003E-2</v>
      </c>
      <c r="E9" s="17">
        <f t="shared" si="2"/>
        <v>4.913E-2</v>
      </c>
      <c r="F9" s="17">
        <f t="shared" ref="F9:F13" si="6">F8*$F$1</f>
        <v>0.01</v>
      </c>
      <c r="G9" s="50"/>
      <c r="H9" s="18"/>
      <c r="I9" s="18"/>
      <c r="J9" s="53">
        <f>F9*J4*100</f>
        <v>30</v>
      </c>
      <c r="K9" s="18">
        <f>$F$9*(K4-(K3-$J$3))*100</f>
        <v>25</v>
      </c>
      <c r="L9" s="18">
        <f t="shared" ref="L9:U9" si="7">$F$9*(L4-(L3-$J$3))*100</f>
        <v>20</v>
      </c>
      <c r="M9" s="18">
        <f t="shared" si="7"/>
        <v>15</v>
      </c>
      <c r="N9" s="51">
        <f t="shared" si="7"/>
        <v>10</v>
      </c>
      <c r="O9" s="50">
        <f t="shared" si="7"/>
        <v>-18</v>
      </c>
      <c r="P9" s="18">
        <f t="shared" si="7"/>
        <v>-21</v>
      </c>
      <c r="Q9" s="51">
        <f t="shared" si="7"/>
        <v>-24</v>
      </c>
      <c r="R9" s="50">
        <f t="shared" si="7"/>
        <v>-28.000000000000004</v>
      </c>
      <c r="S9" s="18">
        <f t="shared" si="7"/>
        <v>-30</v>
      </c>
      <c r="T9" s="18">
        <f t="shared" si="7"/>
        <v>-32</v>
      </c>
      <c r="U9" s="51">
        <f t="shared" si="7"/>
        <v>-34</v>
      </c>
      <c r="V9" s="66"/>
      <c r="W9" s="66"/>
    </row>
    <row r="10" spans="2:23" x14ac:dyDescent="0.45">
      <c r="B10" s="65" t="s">
        <v>37</v>
      </c>
      <c r="C10" s="17">
        <f t="shared" si="5"/>
        <v>0.01</v>
      </c>
      <c r="D10" s="17">
        <f t="shared" si="1"/>
        <v>6.5536000000000011E-2</v>
      </c>
      <c r="E10" s="17">
        <f t="shared" si="2"/>
        <v>8.3520999999999998E-2</v>
      </c>
      <c r="F10" s="17">
        <f t="shared" si="6"/>
        <v>0.01</v>
      </c>
      <c r="G10" s="50"/>
      <c r="H10" s="18"/>
      <c r="I10" s="18"/>
      <c r="J10" s="18"/>
      <c r="K10" s="53">
        <f>F10*K4*100</f>
        <v>30</v>
      </c>
      <c r="L10" s="18">
        <f>$F$10*(L4-(L3-$K$3))*100</f>
        <v>25</v>
      </c>
      <c r="M10" s="18">
        <f>$F$10*(M4-(M3-$K$3))*100</f>
        <v>20</v>
      </c>
      <c r="N10" s="51">
        <f t="shared" ref="N10:U10" si="8">$F$10*(N4-(N3-$K$3))*100</f>
        <v>15</v>
      </c>
      <c r="O10" s="50">
        <f t="shared" si="8"/>
        <v>-13</v>
      </c>
      <c r="P10" s="18">
        <f t="shared" si="8"/>
        <v>-16</v>
      </c>
      <c r="Q10" s="51">
        <f t="shared" si="8"/>
        <v>-19</v>
      </c>
      <c r="R10" s="50">
        <f t="shared" si="8"/>
        <v>-23</v>
      </c>
      <c r="S10" s="18">
        <f t="shared" si="8"/>
        <v>-25</v>
      </c>
      <c r="T10" s="18">
        <f t="shared" si="8"/>
        <v>-27</v>
      </c>
      <c r="U10" s="51">
        <f t="shared" si="8"/>
        <v>-28.999999999999996</v>
      </c>
      <c r="V10" s="66"/>
      <c r="W10" s="66"/>
    </row>
    <row r="11" spans="2:23" x14ac:dyDescent="0.45">
      <c r="B11" s="65" t="s">
        <v>38</v>
      </c>
      <c r="C11" s="17">
        <f t="shared" si="5"/>
        <v>0.01</v>
      </c>
      <c r="D11" s="17">
        <f t="shared" si="1"/>
        <v>0.10485760000000002</v>
      </c>
      <c r="E11" s="17">
        <f t="shared" si="2"/>
        <v>0.14198569999999999</v>
      </c>
      <c r="F11" s="17">
        <f t="shared" si="6"/>
        <v>0.01</v>
      </c>
      <c r="G11" s="50"/>
      <c r="H11" s="18"/>
      <c r="I11" s="18"/>
      <c r="J11" s="18"/>
      <c r="K11" s="18"/>
      <c r="L11" s="53">
        <f>F11*L4*100</f>
        <v>30</v>
      </c>
      <c r="M11" s="18">
        <f>$F$11*(M4-(M3-$L$3))*100</f>
        <v>25</v>
      </c>
      <c r="N11" s="51">
        <f>$F$11*(N4-(N3-$L$3))*100</f>
        <v>20</v>
      </c>
      <c r="O11" s="50">
        <f t="shared" ref="O11:U11" si="9">$F$11*(O4-(O3-$L$3))*100</f>
        <v>-8</v>
      </c>
      <c r="P11" s="18">
        <f t="shared" si="9"/>
        <v>-11</v>
      </c>
      <c r="Q11" s="51">
        <f t="shared" si="9"/>
        <v>-14.000000000000002</v>
      </c>
      <c r="R11" s="50">
        <f t="shared" si="9"/>
        <v>-18</v>
      </c>
      <c r="S11" s="18">
        <f t="shared" si="9"/>
        <v>-20</v>
      </c>
      <c r="T11" s="18">
        <f t="shared" si="9"/>
        <v>-22</v>
      </c>
      <c r="U11" s="51">
        <f t="shared" si="9"/>
        <v>-24</v>
      </c>
      <c r="V11" s="66"/>
      <c r="W11" s="66"/>
    </row>
    <row r="12" spans="2:23" x14ac:dyDescent="0.45">
      <c r="B12" s="65" t="s">
        <v>39</v>
      </c>
      <c r="C12" s="17">
        <f t="shared" si="5"/>
        <v>0.01</v>
      </c>
      <c r="D12" s="17">
        <f t="shared" si="1"/>
        <v>0.16777216000000006</v>
      </c>
      <c r="E12" s="17">
        <f t="shared" si="2"/>
        <v>0.24137568999999998</v>
      </c>
      <c r="F12" s="17">
        <v>0.01</v>
      </c>
      <c r="G12" s="50"/>
      <c r="H12" s="18"/>
      <c r="I12" s="18"/>
      <c r="J12" s="18"/>
      <c r="K12" s="18"/>
      <c r="L12" s="18"/>
      <c r="M12" s="53">
        <f>F12*M4*100</f>
        <v>30</v>
      </c>
      <c r="N12" s="51">
        <f>$F$12*(N4-(N3-$M$3))*100</f>
        <v>25</v>
      </c>
      <c r="O12" s="50">
        <f>$F$12*(O4-(O3-$M$3))*100</f>
        <v>-3</v>
      </c>
      <c r="P12" s="18">
        <f t="shared" ref="P12:U12" si="10">$F$12*(P4-(P3-$M$3))*100</f>
        <v>-6</v>
      </c>
      <c r="Q12" s="51">
        <f t="shared" si="10"/>
        <v>-9</v>
      </c>
      <c r="R12" s="50">
        <f t="shared" si="10"/>
        <v>-13</v>
      </c>
      <c r="S12" s="18">
        <f t="shared" si="10"/>
        <v>-15</v>
      </c>
      <c r="T12" s="18">
        <f t="shared" si="10"/>
        <v>-17</v>
      </c>
      <c r="U12" s="51">
        <f t="shared" si="10"/>
        <v>-19</v>
      </c>
      <c r="V12" s="66"/>
      <c r="W12" s="66"/>
    </row>
    <row r="13" spans="2:23" x14ac:dyDescent="0.45">
      <c r="B13" s="65" t="s">
        <v>40</v>
      </c>
      <c r="C13" s="17">
        <f t="shared" si="5"/>
        <v>0.01</v>
      </c>
      <c r="D13" s="17">
        <f t="shared" si="1"/>
        <v>0.26843545600000013</v>
      </c>
      <c r="E13" s="17">
        <f t="shared" si="2"/>
        <v>0.41033867299999993</v>
      </c>
      <c r="F13" s="17">
        <f t="shared" si="6"/>
        <v>0.01</v>
      </c>
      <c r="G13" s="50"/>
      <c r="H13" s="18"/>
      <c r="I13" s="18"/>
      <c r="J13" s="18"/>
      <c r="K13" s="18"/>
      <c r="L13" s="18"/>
      <c r="M13" s="18"/>
      <c r="N13" s="89">
        <f>F13*N4*100</f>
        <v>30</v>
      </c>
      <c r="O13" s="50">
        <f>$F$13*(O4-(O3-$N$3))*100</f>
        <v>2</v>
      </c>
      <c r="P13" s="18">
        <f>$F$13*(P4-(P3-$N$3))*100</f>
        <v>-1</v>
      </c>
      <c r="Q13" s="51">
        <f t="shared" ref="Q13:U13" si="11">$F$13*(Q4-(Q3-$N$3))*100</f>
        <v>-4</v>
      </c>
      <c r="R13" s="50">
        <f t="shared" si="11"/>
        <v>-8</v>
      </c>
      <c r="S13" s="18">
        <f t="shared" si="11"/>
        <v>-10</v>
      </c>
      <c r="T13" s="18">
        <f t="shared" si="11"/>
        <v>-12</v>
      </c>
      <c r="U13" s="51">
        <f t="shared" si="11"/>
        <v>-14.000000000000002</v>
      </c>
      <c r="V13" s="66"/>
      <c r="W13" s="66"/>
    </row>
    <row r="14" spans="2:23" x14ac:dyDescent="0.45">
      <c r="B14" s="65" t="s">
        <v>41</v>
      </c>
      <c r="C14" s="17">
        <f t="shared" si="5"/>
        <v>0.01</v>
      </c>
      <c r="D14" s="17">
        <f t="shared" si="1"/>
        <v>0.42949672960000024</v>
      </c>
      <c r="E14" s="17">
        <f t="shared" si="2"/>
        <v>0.69757574409999989</v>
      </c>
      <c r="F14" s="17">
        <v>0.43</v>
      </c>
      <c r="G14" s="50"/>
      <c r="H14" s="18"/>
      <c r="I14" s="18"/>
      <c r="J14" s="18"/>
      <c r="K14" s="18"/>
      <c r="L14" s="18"/>
      <c r="M14" s="18"/>
      <c r="N14" s="51"/>
      <c r="O14" s="88">
        <f>F14*O4*100</f>
        <v>215</v>
      </c>
      <c r="P14" s="18">
        <f>$F$14*(P4-(P3-$O$3))*100</f>
        <v>86</v>
      </c>
      <c r="Q14" s="51">
        <f>$F$14*(Q4-(Q3-$O$3))*100</f>
        <v>-43</v>
      </c>
      <c r="R14" s="50">
        <f t="shared" ref="R14:U14" si="12">$F$14*(R4-(R3-$O$3))*100</f>
        <v>-215</v>
      </c>
      <c r="S14" s="18">
        <f t="shared" si="12"/>
        <v>-301</v>
      </c>
      <c r="T14" s="18">
        <f t="shared" si="12"/>
        <v>-387</v>
      </c>
      <c r="U14" s="51">
        <f t="shared" si="12"/>
        <v>-472.99999999999994</v>
      </c>
      <c r="V14" s="66"/>
      <c r="W14" s="66"/>
    </row>
    <row r="15" spans="2:23" ht="14.1" customHeight="1" x14ac:dyDescent="0.45">
      <c r="B15" s="65" t="s">
        <v>42</v>
      </c>
      <c r="C15" s="17">
        <f t="shared" si="5"/>
        <v>0.01</v>
      </c>
      <c r="D15" s="17">
        <f t="shared" si="1"/>
        <v>0.6871947673600004</v>
      </c>
      <c r="E15" s="17">
        <f t="shared" si="2"/>
        <v>1.1858787649699998</v>
      </c>
      <c r="F15" s="17">
        <v>0.69</v>
      </c>
      <c r="G15" s="50"/>
      <c r="H15" s="18"/>
      <c r="I15" s="18"/>
      <c r="J15" s="18"/>
      <c r="K15" s="18"/>
      <c r="L15" s="18"/>
      <c r="M15" s="18"/>
      <c r="N15" s="51"/>
      <c r="O15" s="50"/>
      <c r="P15" s="53">
        <f>F15*P4*100</f>
        <v>345</v>
      </c>
      <c r="Q15" s="51">
        <f>$F$15*(Q4-(Q3-$P$3))*100</f>
        <v>138</v>
      </c>
      <c r="R15" s="50">
        <f>$F$15*(R4-(R3-$P$3))*100</f>
        <v>-138</v>
      </c>
      <c r="S15" s="18">
        <f t="shared" ref="S15:U15" si="13">$F$15*(S4-(S3-$P$3))*100</f>
        <v>-276</v>
      </c>
      <c r="T15" s="18">
        <f t="shared" si="13"/>
        <v>-413.99999999999994</v>
      </c>
      <c r="U15" s="51">
        <f t="shared" si="13"/>
        <v>-552</v>
      </c>
      <c r="V15" s="66"/>
      <c r="W15" s="66"/>
    </row>
    <row r="16" spans="2:23" x14ac:dyDescent="0.45">
      <c r="B16" s="65" t="s">
        <v>43</v>
      </c>
      <c r="C16" s="17">
        <f t="shared" si="5"/>
        <v>0.01</v>
      </c>
      <c r="D16" s="17">
        <f t="shared" si="1"/>
        <v>1.0995116277760006</v>
      </c>
      <c r="E16" s="17">
        <f t="shared" si="2"/>
        <v>2.0159939004489997</v>
      </c>
      <c r="F16" s="17">
        <v>1.1000000000000001</v>
      </c>
      <c r="G16" s="50"/>
      <c r="H16" s="18"/>
      <c r="I16" s="18"/>
      <c r="J16" s="18"/>
      <c r="K16" s="18"/>
      <c r="L16" s="18"/>
      <c r="M16" s="18"/>
      <c r="N16" s="51"/>
      <c r="O16" s="50"/>
      <c r="P16" s="18"/>
      <c r="Q16" s="89">
        <f>F16*Q4*100</f>
        <v>550</v>
      </c>
      <c r="R16" s="50">
        <f>$F$16*(R4-(R3-$Q$3))*100</f>
        <v>110.00000000000001</v>
      </c>
      <c r="S16" s="18">
        <f>$F$16*(S4-(S3-$Q$3))*100</f>
        <v>-110.00000000000001</v>
      </c>
      <c r="T16" s="18">
        <f t="shared" ref="T16:U16" si="14">$F$16*(T4-(T3-$Q$3))*100</f>
        <v>-330</v>
      </c>
      <c r="U16" s="51">
        <f t="shared" si="14"/>
        <v>-550</v>
      </c>
      <c r="V16" s="66"/>
      <c r="W16" s="66"/>
    </row>
    <row r="17" spans="2:23" x14ac:dyDescent="0.45">
      <c r="B17" s="65" t="s">
        <v>44</v>
      </c>
      <c r="C17" s="17">
        <f t="shared" si="5"/>
        <v>0.01</v>
      </c>
      <c r="D17" s="17">
        <f t="shared" si="1"/>
        <v>1.7592186044416012</v>
      </c>
      <c r="E17" s="17">
        <f t="shared" si="2"/>
        <v>3.4271896307632996</v>
      </c>
      <c r="F17" s="17">
        <v>1.76</v>
      </c>
      <c r="G17" s="50"/>
      <c r="H17" s="18"/>
      <c r="I17" s="18"/>
      <c r="J17" s="18"/>
      <c r="K17" s="18"/>
      <c r="L17" s="18"/>
      <c r="M17" s="18"/>
      <c r="N17" s="51"/>
      <c r="O17" s="50"/>
      <c r="P17" s="18"/>
      <c r="Q17" s="51"/>
      <c r="R17" s="88">
        <f>F17*R4*100</f>
        <v>528</v>
      </c>
      <c r="S17" s="18">
        <f>$F$17*(S4-(S3-$R$3))*100</f>
        <v>176</v>
      </c>
      <c r="T17" s="18">
        <f>$F$17*(T4-(T3-$R$3))*100</f>
        <v>-176</v>
      </c>
      <c r="U17" s="51">
        <f t="shared" ref="U17" si="15">$F$17*(U4-(U3-$R$3))*100</f>
        <v>-528</v>
      </c>
      <c r="V17" s="66"/>
      <c r="W17" s="66"/>
    </row>
    <row r="18" spans="2:23" x14ac:dyDescent="0.45">
      <c r="B18" s="65" t="s">
        <v>45</v>
      </c>
      <c r="C18" s="17">
        <f t="shared" si="5"/>
        <v>0.01</v>
      </c>
      <c r="D18" s="17">
        <f t="shared" si="1"/>
        <v>2.8147497671065622</v>
      </c>
      <c r="E18" s="17">
        <f t="shared" si="2"/>
        <v>5.8262223722976092</v>
      </c>
      <c r="F18" s="17">
        <v>5.83</v>
      </c>
      <c r="G18" s="50"/>
      <c r="H18" s="18"/>
      <c r="I18" s="18"/>
      <c r="J18" s="18"/>
      <c r="K18" s="18"/>
      <c r="L18" s="18"/>
      <c r="M18" s="18"/>
      <c r="N18" s="51"/>
      <c r="O18" s="50"/>
      <c r="P18" s="18"/>
      <c r="Q18" s="51"/>
      <c r="R18" s="50"/>
      <c r="S18" s="53">
        <f>F18*S4*100</f>
        <v>1749.0000000000002</v>
      </c>
      <c r="T18" s="18">
        <f>$F$18*(T4-(T3-$S$3))*100</f>
        <v>583</v>
      </c>
      <c r="U18" s="51">
        <f>$F$18*(U4-(U3-$S$3))*100</f>
        <v>-583</v>
      </c>
      <c r="V18" s="66"/>
      <c r="W18" s="66"/>
    </row>
    <row r="19" spans="2:23" x14ac:dyDescent="0.45">
      <c r="B19" s="65" t="s">
        <v>46</v>
      </c>
      <c r="C19" s="17">
        <f t="shared" si="5"/>
        <v>0.01</v>
      </c>
      <c r="D19" s="17">
        <f t="shared" si="1"/>
        <v>4.5035996273704999</v>
      </c>
      <c r="E19" s="17">
        <f t="shared" si="2"/>
        <v>9.9045780329059347</v>
      </c>
      <c r="F19" s="17">
        <v>9.9</v>
      </c>
      <c r="G19" s="50"/>
      <c r="H19" s="18"/>
      <c r="I19" s="18"/>
      <c r="J19" s="18"/>
      <c r="K19" s="18"/>
      <c r="L19" s="18"/>
      <c r="M19" s="18"/>
      <c r="N19" s="51"/>
      <c r="O19" s="50"/>
      <c r="P19" s="18"/>
      <c r="Q19" s="51"/>
      <c r="R19" s="50"/>
      <c r="S19" s="18"/>
      <c r="T19" s="53">
        <f>F19*T4*100</f>
        <v>2970.0000000000005</v>
      </c>
      <c r="U19" s="51">
        <f>$F$19*(U4-(U3-$T$3))*100</f>
        <v>990</v>
      </c>
      <c r="V19" s="66"/>
      <c r="W19" s="66"/>
    </row>
    <row r="20" spans="2:23" x14ac:dyDescent="0.45">
      <c r="B20" s="65" t="s">
        <v>47</v>
      </c>
      <c r="C20" s="17">
        <f t="shared" si="5"/>
        <v>0.01</v>
      </c>
      <c r="D20" s="17">
        <f t="shared" si="1"/>
        <v>7.2057594037928006</v>
      </c>
      <c r="E20" s="17">
        <f t="shared" si="2"/>
        <v>16.837782655940089</v>
      </c>
      <c r="F20" s="71">
        <v>16.84</v>
      </c>
      <c r="G20" s="90"/>
      <c r="H20" s="91"/>
      <c r="I20" s="91"/>
      <c r="J20" s="91"/>
      <c r="K20" s="91"/>
      <c r="L20" s="91"/>
      <c r="M20" s="91"/>
      <c r="N20" s="92"/>
      <c r="O20" s="90"/>
      <c r="P20" s="91"/>
      <c r="Q20" s="92"/>
      <c r="R20" s="90"/>
      <c r="S20" s="91"/>
      <c r="T20" s="91"/>
      <c r="U20" s="54">
        <f>F20*U4*100</f>
        <v>5052</v>
      </c>
      <c r="V20" s="66"/>
      <c r="W20" s="66"/>
    </row>
    <row r="21" spans="2:23" x14ac:dyDescent="0.45">
      <c r="F21" s="67">
        <f>SUM(F6:F20)</f>
        <v>36.629999999999995</v>
      </c>
      <c r="G21" s="93">
        <f>SUMIF(G5:G20, "&lt;0")</f>
        <v>0</v>
      </c>
      <c r="H21" s="94">
        <f t="shared" ref="H21:U21" si="16">SUMIF(H5:H20, "&lt;0")</f>
        <v>0</v>
      </c>
      <c r="I21" s="94">
        <f t="shared" si="16"/>
        <v>0</v>
      </c>
      <c r="J21" s="94">
        <f t="shared" si="16"/>
        <v>0</v>
      </c>
      <c r="K21" s="94">
        <f t="shared" si="16"/>
        <v>0</v>
      </c>
      <c r="L21" s="94">
        <f t="shared" si="16"/>
        <v>0</v>
      </c>
      <c r="M21" s="94">
        <f t="shared" si="16"/>
        <v>0</v>
      </c>
      <c r="N21" s="95">
        <f t="shared" si="16"/>
        <v>-5</v>
      </c>
      <c r="O21" s="93">
        <f t="shared" si="16"/>
        <v>-126</v>
      </c>
      <c r="P21" s="94">
        <f t="shared" si="16"/>
        <v>-148</v>
      </c>
      <c r="Q21" s="95">
        <f t="shared" si="16"/>
        <v>-215</v>
      </c>
      <c r="R21" s="93">
        <f t="shared" si="16"/>
        <v>-557</v>
      </c>
      <c r="S21" s="94">
        <f t="shared" si="16"/>
        <v>-907</v>
      </c>
      <c r="T21" s="94">
        <f t="shared" si="16"/>
        <v>-1543</v>
      </c>
      <c r="U21" s="95">
        <f t="shared" si="16"/>
        <v>-2938</v>
      </c>
      <c r="V21" s="66"/>
      <c r="W21" s="66"/>
    </row>
    <row r="22" spans="2:23" x14ac:dyDescent="0.45">
      <c r="F22" s="61"/>
      <c r="G22" s="93">
        <f t="shared" ref="G22:U22" si="17">SUM(G6:G20)</f>
        <v>30</v>
      </c>
      <c r="H22" s="94">
        <f t="shared" si="17"/>
        <v>55</v>
      </c>
      <c r="I22" s="94">
        <f t="shared" si="17"/>
        <v>75</v>
      </c>
      <c r="J22" s="94">
        <f t="shared" si="17"/>
        <v>90</v>
      </c>
      <c r="K22" s="94">
        <f t="shared" si="17"/>
        <v>100</v>
      </c>
      <c r="L22" s="94">
        <f t="shared" si="17"/>
        <v>105</v>
      </c>
      <c r="M22" s="94">
        <f t="shared" si="17"/>
        <v>105</v>
      </c>
      <c r="N22" s="95">
        <f t="shared" si="17"/>
        <v>100</v>
      </c>
      <c r="O22" s="93">
        <f t="shared" si="17"/>
        <v>91</v>
      </c>
      <c r="P22" s="94">
        <f t="shared" si="17"/>
        <v>283</v>
      </c>
      <c r="Q22" s="95">
        <f t="shared" si="17"/>
        <v>473</v>
      </c>
      <c r="R22" s="93">
        <f t="shared" si="17"/>
        <v>81</v>
      </c>
      <c r="S22" s="94">
        <f t="shared" si="17"/>
        <v>1018.0000000000002</v>
      </c>
      <c r="T22" s="94">
        <f t="shared" si="17"/>
        <v>2010.0000000000005</v>
      </c>
      <c r="U22" s="95">
        <f t="shared" si="17"/>
        <v>3104</v>
      </c>
      <c r="V22" s="66"/>
      <c r="W22" s="66"/>
    </row>
    <row r="23" spans="2:23" x14ac:dyDescent="0.45">
      <c r="F23" s="61"/>
      <c r="G23" s="66"/>
    </row>
    <row r="24" spans="2:23" x14ac:dyDescent="0.45">
      <c r="F24" s="61"/>
    </row>
    <row r="25" spans="2:23" x14ac:dyDescent="0.45">
      <c r="F25" s="61"/>
    </row>
    <row r="26" spans="2:23" x14ac:dyDescent="0.45">
      <c r="F26" s="61"/>
      <c r="W26" s="66"/>
    </row>
    <row r="27" spans="2:23" x14ac:dyDescent="0.45">
      <c r="F27" s="61"/>
    </row>
    <row r="28" spans="2:23" x14ac:dyDescent="0.45">
      <c r="F28" s="61"/>
    </row>
    <row r="29" spans="2:23" x14ac:dyDescent="0.45">
      <c r="F29" s="61"/>
    </row>
  </sheetData>
  <sheetProtection formatCells="0" formatColumns="0" formatRows="0" insertColumns="0" insertRows="0" insertHyperlinks="0" deleteColumns="0" deleteRows="0" sort="0" autoFilter="0" pivotTables="0"/>
  <mergeCells count="4">
    <mergeCell ref="B1:D1"/>
    <mergeCell ref="B2:D2"/>
    <mergeCell ref="B3:D3"/>
    <mergeCell ref="B4:D4"/>
  </mergeCells>
  <phoneticPr fontId="7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AU56"/>
  <sheetViews>
    <sheetView topLeftCell="K149" zoomScale="55" zoomScaleNormal="55" workbookViewId="0">
      <selection activeCell="V224" sqref="V224"/>
    </sheetView>
  </sheetViews>
  <sheetFormatPr defaultRowHeight="18" x14ac:dyDescent="0.45"/>
  <sheetData>
    <row r="3" spans="2:47" x14ac:dyDescent="0.45">
      <c r="B3" t="s">
        <v>56</v>
      </c>
      <c r="E3" t="s">
        <v>57</v>
      </c>
      <c r="G3" t="s">
        <v>62</v>
      </c>
      <c r="M3" t="s">
        <v>58</v>
      </c>
      <c r="O3" t="s">
        <v>63</v>
      </c>
      <c r="X3" t="s">
        <v>59</v>
      </c>
      <c r="Y3" t="s">
        <v>64</v>
      </c>
      <c r="AI3" t="s">
        <v>60</v>
      </c>
      <c r="AJ3" t="s">
        <v>61</v>
      </c>
      <c r="AT3" t="s">
        <v>65</v>
      </c>
      <c r="AU3">
        <v>107.7</v>
      </c>
    </row>
    <row r="56" spans="2:38" x14ac:dyDescent="0.45">
      <c r="B56" t="s">
        <v>66</v>
      </c>
      <c r="D56" t="s">
        <v>67</v>
      </c>
      <c r="M56" t="s">
        <v>68</v>
      </c>
      <c r="O56" t="s">
        <v>69</v>
      </c>
      <c r="X56" t="s">
        <v>70</v>
      </c>
      <c r="Z56" t="s">
        <v>71</v>
      </c>
      <c r="AI56" t="s">
        <v>72</v>
      </c>
      <c r="AJ56" t="s">
        <v>66</v>
      </c>
      <c r="AL56" t="s">
        <v>67</v>
      </c>
    </row>
  </sheetData>
  <phoneticPr fontId="7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K169:L169"/>
  <sheetViews>
    <sheetView topLeftCell="A154" workbookViewId="0">
      <selection activeCell="E172" sqref="E172"/>
    </sheetView>
  </sheetViews>
  <sheetFormatPr defaultRowHeight="18" x14ac:dyDescent="0.45"/>
  <sheetData>
    <row r="169" spans="11:12" x14ac:dyDescent="0.45">
      <c r="K169">
        <v>2149.9029999999998</v>
      </c>
      <c r="L169">
        <v>2159.9029999999998</v>
      </c>
    </row>
  </sheetData>
  <phoneticPr fontId="7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Bảng Input L30</vt:lpstr>
      <vt:lpstr>Thay đổi hệ số quãng</vt:lpstr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2023-10-25T17:11:07Z</dcterms:created>
  <dcterms:modified xsi:type="dcterms:W3CDTF">2024-04-08T04:57:16Z</dcterms:modified>
</cp:coreProperties>
</file>