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1_Projects\ScanBinance\bsc_scan_binance\src\main\resources\MQL5\"/>
    </mc:Choice>
  </mc:AlternateContent>
  <xr:revisionPtr revIDLastSave="0" documentId="13_ncr:1_{2D7EB2D5-9F79-4EFE-A2E2-D7C0E0D5A0B1}" xr6:coauthVersionLast="47" xr6:coauthVersionMax="47" xr10:uidLastSave="{00000000-0000-0000-0000-000000000000}"/>
  <bookViews>
    <workbookView xWindow="-108" yWindow="-108" windowWidth="41496" windowHeight="16896" xr2:uid="{00000000-000D-0000-FFFF-FFFF00000000}"/>
  </bookViews>
  <sheets>
    <sheet name="Bảng Input L30" sheetId="2" r:id="rId1"/>
    <sheet name="GBPJPY" sheetId="12" r:id="rId2"/>
    <sheet name="Thay đổi hệ số quãng" sheetId="10" r:id="rId3"/>
    <sheet name="Sheet1" sheetId="8" r:id="rId4"/>
    <sheet name="Sheet1 (2)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M3" i="2"/>
  <c r="O45" i="10"/>
  <c r="P45" i="10"/>
  <c r="Q45" i="10"/>
  <c r="G45" i="10"/>
  <c r="I44" i="10"/>
  <c r="I45" i="10" s="1"/>
  <c r="J44" i="10"/>
  <c r="J45" i="10" s="1"/>
  <c r="K44" i="10"/>
  <c r="K45" i="10" s="1"/>
  <c r="L44" i="10"/>
  <c r="L45" i="10" s="1"/>
  <c r="M44" i="10"/>
  <c r="M45" i="10" s="1"/>
  <c r="N44" i="10"/>
  <c r="N45" i="10" s="1"/>
  <c r="O44" i="10"/>
  <c r="P44" i="10"/>
  <c r="Q44" i="10"/>
  <c r="R44" i="10"/>
  <c r="R45" i="10" s="1"/>
  <c r="S44" i="10"/>
  <c r="S45" i="10" s="1"/>
  <c r="T44" i="10"/>
  <c r="T45" i="10" s="1"/>
  <c r="U44" i="10"/>
  <c r="U45" i="10" s="1"/>
  <c r="H44" i="10"/>
  <c r="H45" i="10" s="1"/>
  <c r="I35" i="10"/>
  <c r="J35" i="10"/>
  <c r="K35" i="10"/>
  <c r="L35" i="10" s="1"/>
  <c r="M35" i="10" s="1"/>
  <c r="N35" i="10" s="1"/>
  <c r="O35" i="10" s="1"/>
  <c r="P35" i="10" s="1"/>
  <c r="Q35" i="10" s="1"/>
  <c r="R35" i="10" s="1"/>
  <c r="S35" i="10" s="1"/>
  <c r="T35" i="10" s="1"/>
  <c r="U35" i="10" s="1"/>
  <c r="V35" i="10" s="1"/>
  <c r="W35" i="10" s="1"/>
  <c r="X35" i="10" s="1"/>
  <c r="Y35" i="10" s="1"/>
  <c r="Z35" i="10" s="1"/>
  <c r="H36" i="10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W36" i="10" s="1"/>
  <c r="X36" i="10" s="1"/>
  <c r="Y36" i="10" s="1"/>
  <c r="Z36" i="10" s="1"/>
  <c r="H37" i="10"/>
  <c r="I37" i="10" s="1"/>
  <c r="J37" i="10" s="1"/>
  <c r="K37" i="10" s="1"/>
  <c r="L37" i="10" s="1"/>
  <c r="M37" i="10" s="1"/>
  <c r="N37" i="10" s="1"/>
  <c r="O37" i="10" s="1"/>
  <c r="P37" i="10" s="1"/>
  <c r="Q37" i="10" s="1"/>
  <c r="R37" i="10" s="1"/>
  <c r="S37" i="10" s="1"/>
  <c r="T37" i="10" s="1"/>
  <c r="U37" i="10" s="1"/>
  <c r="V37" i="10" s="1"/>
  <c r="W37" i="10" s="1"/>
  <c r="X37" i="10" s="1"/>
  <c r="Y37" i="10" s="1"/>
  <c r="Z37" i="10" s="1"/>
  <c r="H38" i="10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W38" i="10" s="1"/>
  <c r="X38" i="10" s="1"/>
  <c r="Y38" i="10" s="1"/>
  <c r="Z38" i="10" s="1"/>
  <c r="H35" i="10"/>
  <c r="I34" i="10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W34" i="10" s="1"/>
  <c r="X34" i="10" s="1"/>
  <c r="Y34" i="10" s="1"/>
  <c r="Z34" i="10" s="1"/>
  <c r="H34" i="10"/>
  <c r="I33" i="10"/>
  <c r="J33" i="10" s="1"/>
  <c r="K33" i="10" s="1"/>
  <c r="L33" i="10" s="1"/>
  <c r="M33" i="10" s="1"/>
  <c r="N33" i="10" s="1"/>
  <c r="O33" i="10" s="1"/>
  <c r="P33" i="10" s="1"/>
  <c r="Q33" i="10" s="1"/>
  <c r="R33" i="10" s="1"/>
  <c r="S33" i="10" s="1"/>
  <c r="T33" i="10" s="1"/>
  <c r="U33" i="10" s="1"/>
  <c r="V33" i="10" s="1"/>
  <c r="W33" i="10" s="1"/>
  <c r="X33" i="10" s="1"/>
  <c r="Y33" i="10" s="1"/>
  <c r="Z33" i="10" s="1"/>
  <c r="H33" i="10"/>
  <c r="I32" i="10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W32" i="10" s="1"/>
  <c r="X32" i="10" s="1"/>
  <c r="Y32" i="10" s="1"/>
  <c r="Z32" i="10" s="1"/>
  <c r="H32" i="10"/>
  <c r="I31" i="10"/>
  <c r="J31" i="10" s="1"/>
  <c r="K31" i="10" s="1"/>
  <c r="L31" i="10" s="1"/>
  <c r="M31" i="10" s="1"/>
  <c r="N31" i="10" s="1"/>
  <c r="O31" i="10" s="1"/>
  <c r="P31" i="10" s="1"/>
  <c r="Q31" i="10" s="1"/>
  <c r="R31" i="10" s="1"/>
  <c r="S31" i="10" s="1"/>
  <c r="T31" i="10" s="1"/>
  <c r="U31" i="10" s="1"/>
  <c r="V31" i="10" s="1"/>
  <c r="W31" i="10" s="1"/>
  <c r="X31" i="10" s="1"/>
  <c r="Y31" i="10" s="1"/>
  <c r="Z31" i="10" s="1"/>
  <c r="H31" i="10"/>
  <c r="I6" i="12"/>
  <c r="C13" i="12"/>
  <c r="B13" i="12"/>
  <c r="K7" i="12"/>
  <c r="I4" i="12"/>
  <c r="E3" i="12"/>
  <c r="E4" i="12" s="1"/>
  <c r="E5" i="12" s="1"/>
  <c r="E6" i="12" s="1"/>
  <c r="E7" i="12" s="1"/>
  <c r="I4" i="2"/>
  <c r="E13" i="12" l="1"/>
  <c r="D13" i="12" s="1"/>
  <c r="K8" i="12"/>
  <c r="L7" i="12"/>
  <c r="I11" i="12"/>
  <c r="B14" i="12"/>
  <c r="J3" i="10"/>
  <c r="J6" i="10" s="1"/>
  <c r="I3" i="10"/>
  <c r="I6" i="10" s="1"/>
  <c r="U20" i="10"/>
  <c r="T19" i="10"/>
  <c r="S18" i="10"/>
  <c r="R17" i="10"/>
  <c r="Q16" i="10"/>
  <c r="P15" i="10"/>
  <c r="O14" i="10"/>
  <c r="F13" i="10"/>
  <c r="M12" i="1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F7" i="10"/>
  <c r="F8" i="10" s="1"/>
  <c r="E7" i="10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C7" i="10"/>
  <c r="G6" i="10"/>
  <c r="G22" i="10" s="1"/>
  <c r="E6" i="10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E5" i="10"/>
  <c r="D5" i="10"/>
  <c r="C5" i="10"/>
  <c r="U3" i="10"/>
  <c r="T3" i="10"/>
  <c r="T15" i="10" s="1"/>
  <c r="S3" i="10"/>
  <c r="R3" i="10"/>
  <c r="Q3" i="10"/>
  <c r="P3" i="10"/>
  <c r="O3" i="10"/>
  <c r="N3" i="10"/>
  <c r="M3" i="10"/>
  <c r="M6" i="10" s="1"/>
  <c r="L3" i="10"/>
  <c r="L6" i="10" s="1"/>
  <c r="K3" i="10"/>
  <c r="K6" i="10" s="1"/>
  <c r="H3" i="10"/>
  <c r="N7" i="10" s="1"/>
  <c r="E14" i="12" l="1"/>
  <c r="C14" i="12"/>
  <c r="B15" i="12"/>
  <c r="L8" i="12"/>
  <c r="M7" i="12"/>
  <c r="I12" i="12"/>
  <c r="R11" i="12"/>
  <c r="Q11" i="12"/>
  <c r="AA11" i="12"/>
  <c r="Z11" i="12"/>
  <c r="AC11" i="12"/>
  <c r="J33" i="12"/>
  <c r="AB11" i="12"/>
  <c r="P11" i="12"/>
  <c r="O11" i="12"/>
  <c r="N11" i="12"/>
  <c r="Y11" i="12"/>
  <c r="M11" i="12"/>
  <c r="X11" i="12"/>
  <c r="L11" i="12"/>
  <c r="V11" i="12"/>
  <c r="J11" i="12"/>
  <c r="T11" i="12"/>
  <c r="U11" i="12"/>
  <c r="S11" i="12"/>
  <c r="K11" i="12"/>
  <c r="W11" i="12"/>
  <c r="P14" i="10"/>
  <c r="I7" i="10"/>
  <c r="N12" i="10"/>
  <c r="Q12" i="10"/>
  <c r="R12" i="10"/>
  <c r="M7" i="10"/>
  <c r="G21" i="10"/>
  <c r="T7" i="10"/>
  <c r="S8" i="10"/>
  <c r="U19" i="10"/>
  <c r="U16" i="10"/>
  <c r="Q7" i="10"/>
  <c r="U14" i="10"/>
  <c r="S16" i="10"/>
  <c r="U7" i="10"/>
  <c r="R13" i="10"/>
  <c r="U17" i="10"/>
  <c r="T17" i="10"/>
  <c r="T16" i="10"/>
  <c r="L8" i="10"/>
  <c r="T8" i="10"/>
  <c r="S12" i="10"/>
  <c r="O13" i="10"/>
  <c r="H6" i="10"/>
  <c r="P6" i="10"/>
  <c r="T6" i="10"/>
  <c r="J7" i="10"/>
  <c r="R7" i="10"/>
  <c r="I8" i="10"/>
  <c r="I22" i="10" s="1"/>
  <c r="Q8" i="10"/>
  <c r="F9" i="10"/>
  <c r="P12" i="10"/>
  <c r="T13" i="10"/>
  <c r="R14" i="10"/>
  <c r="U15" i="10"/>
  <c r="Q6" i="10"/>
  <c r="U6" i="10"/>
  <c r="K7" i="10"/>
  <c r="O7" i="10"/>
  <c r="S7" i="10"/>
  <c r="J8" i="10"/>
  <c r="N8" i="10"/>
  <c r="R8" i="10"/>
  <c r="U12" i="10"/>
  <c r="Q13" i="10"/>
  <c r="U13" i="10"/>
  <c r="S14" i="10"/>
  <c r="R15" i="10"/>
  <c r="R16" i="10"/>
  <c r="S17" i="10"/>
  <c r="U18" i="10"/>
  <c r="O6" i="10"/>
  <c r="S6" i="10"/>
  <c r="P8" i="10"/>
  <c r="O12" i="10"/>
  <c r="S13" i="10"/>
  <c r="Q14" i="10"/>
  <c r="M8" i="10"/>
  <c r="U8" i="10"/>
  <c r="T12" i="10"/>
  <c r="P13" i="10"/>
  <c r="Q15" i="10"/>
  <c r="T18" i="10"/>
  <c r="N6" i="10"/>
  <c r="R6" i="10"/>
  <c r="H7" i="10"/>
  <c r="L7" i="10"/>
  <c r="P7" i="10"/>
  <c r="K8" i="10"/>
  <c r="O8" i="10"/>
  <c r="N13" i="10"/>
  <c r="T14" i="10"/>
  <c r="S15" i="10"/>
  <c r="I13" i="12" l="1"/>
  <c r="V12" i="12"/>
  <c r="U12" i="12"/>
  <c r="T12" i="12"/>
  <c r="S12" i="12"/>
  <c r="R12" i="12"/>
  <c r="AC12" i="12"/>
  <c r="Q12" i="12"/>
  <c r="AB12" i="12"/>
  <c r="P12" i="12"/>
  <c r="Z12" i="12"/>
  <c r="N12" i="12"/>
  <c r="X12" i="12"/>
  <c r="Y12" i="12"/>
  <c r="M12" i="12"/>
  <c r="L12" i="12"/>
  <c r="W12" i="12"/>
  <c r="O12" i="12"/>
  <c r="K12" i="12"/>
  <c r="K32" i="12" s="1"/>
  <c r="AA12" i="12"/>
  <c r="K31" i="12"/>
  <c r="M8" i="12"/>
  <c r="N7" i="12"/>
  <c r="K33" i="12"/>
  <c r="E15" i="12"/>
  <c r="C15" i="12"/>
  <c r="B16" i="12"/>
  <c r="D14" i="12"/>
  <c r="J32" i="12"/>
  <c r="J31" i="12"/>
  <c r="I21" i="10"/>
  <c r="H21" i="10"/>
  <c r="H22" i="10"/>
  <c r="S9" i="10"/>
  <c r="O9" i="10"/>
  <c r="K9" i="10"/>
  <c r="U9" i="10"/>
  <c r="M9" i="10"/>
  <c r="P9" i="10"/>
  <c r="R9" i="10"/>
  <c r="N9" i="10"/>
  <c r="J9" i="10"/>
  <c r="J22" i="10" s="1"/>
  <c r="F10" i="10"/>
  <c r="Q9" i="10"/>
  <c r="T9" i="10"/>
  <c r="L9" i="10"/>
  <c r="E3" i="2"/>
  <c r="N8" i="12" l="1"/>
  <c r="O7" i="12"/>
  <c r="B17" i="12"/>
  <c r="C16" i="12"/>
  <c r="E16" i="12"/>
  <c r="D15" i="12"/>
  <c r="W13" i="12"/>
  <c r="V13" i="12"/>
  <c r="S13" i="12"/>
  <c r="I14" i="12"/>
  <c r="U13" i="12"/>
  <c r="T13" i="12"/>
  <c r="R13" i="12"/>
  <c r="AC13" i="12"/>
  <c r="Q13" i="12"/>
  <c r="AA13" i="12"/>
  <c r="O13" i="12"/>
  <c r="Y13" i="12"/>
  <c r="Z13" i="12"/>
  <c r="N13" i="12"/>
  <c r="M13" i="12"/>
  <c r="AB13" i="12"/>
  <c r="X13" i="12"/>
  <c r="P13" i="12"/>
  <c r="L13" i="12"/>
  <c r="L33" i="12"/>
  <c r="J21" i="10"/>
  <c r="T10" i="10"/>
  <c r="P10" i="10"/>
  <c r="L10" i="10"/>
  <c r="N10" i="10"/>
  <c r="U10" i="10"/>
  <c r="Q10" i="10"/>
  <c r="S10" i="10"/>
  <c r="O10" i="10"/>
  <c r="K10" i="10"/>
  <c r="R10" i="10"/>
  <c r="F11" i="10"/>
  <c r="M10" i="10"/>
  <c r="L32" i="12" l="1"/>
  <c r="L31" i="12"/>
  <c r="O8" i="12"/>
  <c r="P7" i="12"/>
  <c r="C17" i="12"/>
  <c r="E17" i="12"/>
  <c r="B18" i="12"/>
  <c r="Y14" i="12"/>
  <c r="M14" i="12"/>
  <c r="M32" i="12" s="1"/>
  <c r="U14" i="12"/>
  <c r="X14" i="12"/>
  <c r="I15" i="12"/>
  <c r="W14" i="12"/>
  <c r="V14" i="12"/>
  <c r="T14" i="12"/>
  <c r="S14" i="12"/>
  <c r="AC14" i="12"/>
  <c r="Q14" i="12"/>
  <c r="AA14" i="12"/>
  <c r="AB14" i="12"/>
  <c r="P14" i="12"/>
  <c r="O14" i="12"/>
  <c r="Z14" i="12"/>
  <c r="R14" i="12"/>
  <c r="N14" i="12"/>
  <c r="N33" i="12"/>
  <c r="M33" i="12"/>
  <c r="D16" i="12"/>
  <c r="K22" i="10"/>
  <c r="K21" i="10"/>
  <c r="R11" i="10"/>
  <c r="R22" i="10" s="1"/>
  <c r="N11" i="10"/>
  <c r="N22" i="10" s="1"/>
  <c r="P11" i="10"/>
  <c r="P22" i="10" s="1"/>
  <c r="O11" i="10"/>
  <c r="O22" i="10" s="1"/>
  <c r="U11" i="10"/>
  <c r="U22" i="10" s="1"/>
  <c r="Q11" i="10"/>
  <c r="M11" i="10"/>
  <c r="M22" i="10" s="1"/>
  <c r="T11" i="10"/>
  <c r="T22" i="10" s="1"/>
  <c r="L11" i="10"/>
  <c r="S11" i="10"/>
  <c r="F21" i="10"/>
  <c r="M31" i="12" l="1"/>
  <c r="B19" i="12"/>
  <c r="E18" i="12"/>
  <c r="C18" i="12"/>
  <c r="D17" i="12"/>
  <c r="AB15" i="12"/>
  <c r="P15" i="12"/>
  <c r="X15" i="12"/>
  <c r="AA15" i="12"/>
  <c r="O15" i="12"/>
  <c r="Z15" i="12"/>
  <c r="N15" i="12"/>
  <c r="Y15" i="12"/>
  <c r="W15" i="12"/>
  <c r="I16" i="12"/>
  <c r="V15" i="12"/>
  <c r="T15" i="12"/>
  <c r="S15" i="12"/>
  <c r="R15" i="12"/>
  <c r="Q15" i="12"/>
  <c r="AC15" i="12"/>
  <c r="U15" i="12"/>
  <c r="Q7" i="12"/>
  <c r="P8" i="12"/>
  <c r="U21" i="10"/>
  <c r="S22" i="10"/>
  <c r="S21" i="10"/>
  <c r="M21" i="10"/>
  <c r="T21" i="10"/>
  <c r="R21" i="10"/>
  <c r="Q22" i="10"/>
  <c r="Q21" i="10"/>
  <c r="P21" i="10"/>
  <c r="N21" i="10"/>
  <c r="L22" i="10"/>
  <c r="L21" i="10"/>
  <c r="O21" i="10"/>
  <c r="T16" i="12" l="1"/>
  <c r="Q16" i="12"/>
  <c r="S16" i="12"/>
  <c r="AC16" i="12"/>
  <c r="AB16" i="12"/>
  <c r="R16" i="12"/>
  <c r="P16" i="12"/>
  <c r="AA16" i="12"/>
  <c r="O16" i="12"/>
  <c r="O31" i="12" s="1"/>
  <c r="Z16" i="12"/>
  <c r="X16" i="12"/>
  <c r="V16" i="12"/>
  <c r="W16" i="12"/>
  <c r="I17" i="12"/>
  <c r="U16" i="12"/>
  <c r="Y16" i="12"/>
  <c r="O33" i="12"/>
  <c r="N31" i="12"/>
  <c r="N32" i="12"/>
  <c r="C19" i="12"/>
  <c r="B20" i="12"/>
  <c r="E19" i="12"/>
  <c r="D18" i="12"/>
  <c r="R7" i="12"/>
  <c r="Q8" i="12"/>
  <c r="K7" i="2"/>
  <c r="L7" i="2" s="1"/>
  <c r="O32" i="12" l="1"/>
  <c r="B21" i="12"/>
  <c r="E20" i="12"/>
  <c r="C20" i="12"/>
  <c r="D19" i="12"/>
  <c r="S7" i="12"/>
  <c r="R8" i="12"/>
  <c r="Y17" i="12"/>
  <c r="U17" i="12"/>
  <c r="X17" i="12"/>
  <c r="I18" i="12"/>
  <c r="W17" i="12"/>
  <c r="V17" i="12"/>
  <c r="T17" i="12"/>
  <c r="S17" i="12"/>
  <c r="AC17" i="12"/>
  <c r="Q17" i="12"/>
  <c r="AA17" i="12"/>
  <c r="AB17" i="12"/>
  <c r="P17" i="12"/>
  <c r="Z17" i="12"/>
  <c r="R17" i="12"/>
  <c r="P33" i="12"/>
  <c r="K8" i="2"/>
  <c r="L8" i="2"/>
  <c r="M7" i="2"/>
  <c r="E4" i="2"/>
  <c r="E5" i="2" s="1"/>
  <c r="E6" i="2" s="1"/>
  <c r="E7" i="2" s="1"/>
  <c r="C21" i="12" l="1"/>
  <c r="B22" i="12"/>
  <c r="E21" i="12"/>
  <c r="P31" i="12"/>
  <c r="P32" i="12"/>
  <c r="T7" i="12"/>
  <c r="S8" i="12"/>
  <c r="D20" i="12"/>
  <c r="S18" i="12"/>
  <c r="R18" i="12"/>
  <c r="AA18" i="12"/>
  <c r="AC18" i="12"/>
  <c r="Q18" i="12"/>
  <c r="AB18" i="12"/>
  <c r="Z18" i="12"/>
  <c r="Y18" i="12"/>
  <c r="X18" i="12"/>
  <c r="W18" i="12"/>
  <c r="I19" i="12"/>
  <c r="V18" i="12"/>
  <c r="U18" i="12"/>
  <c r="T18" i="12"/>
  <c r="Q33" i="12"/>
  <c r="M8" i="2"/>
  <c r="N7" i="2"/>
  <c r="C13" i="2"/>
  <c r="C22" i="12" l="1"/>
  <c r="B23" i="12"/>
  <c r="E22" i="12"/>
  <c r="D21" i="12"/>
  <c r="U7" i="12"/>
  <c r="T8" i="12"/>
  <c r="Q31" i="12"/>
  <c r="Q32" i="12"/>
  <c r="Z19" i="12"/>
  <c r="V19" i="12"/>
  <c r="Y19" i="12"/>
  <c r="X19" i="12"/>
  <c r="W19" i="12"/>
  <c r="I20" i="12"/>
  <c r="S19" i="12"/>
  <c r="U19" i="12"/>
  <c r="T19" i="12"/>
  <c r="R19" i="12"/>
  <c r="AC19" i="12"/>
  <c r="AB19" i="12"/>
  <c r="AA19" i="12"/>
  <c r="R33" i="12"/>
  <c r="I11" i="2"/>
  <c r="O7" i="2"/>
  <c r="N8" i="2"/>
  <c r="B13" i="2"/>
  <c r="B14" i="2" s="1"/>
  <c r="R32" i="12" l="1"/>
  <c r="R31" i="12"/>
  <c r="E23" i="12"/>
  <c r="C23" i="12"/>
  <c r="B24" i="12"/>
  <c r="V7" i="12"/>
  <c r="U8" i="12"/>
  <c r="I21" i="12"/>
  <c r="V20" i="12"/>
  <c r="AA20" i="12"/>
  <c r="U20" i="12"/>
  <c r="S20" i="12"/>
  <c r="T20" i="12"/>
  <c r="AC20" i="12"/>
  <c r="AB20" i="12"/>
  <c r="Z20" i="12"/>
  <c r="X20" i="12"/>
  <c r="W20" i="12"/>
  <c r="Y20" i="12"/>
  <c r="S33" i="12"/>
  <c r="D22" i="12"/>
  <c r="N11" i="2"/>
  <c r="AB11" i="2"/>
  <c r="AA11" i="2"/>
  <c r="AC11" i="2"/>
  <c r="Z11" i="2"/>
  <c r="O11" i="2"/>
  <c r="J33" i="2"/>
  <c r="S11" i="2"/>
  <c r="J11" i="2"/>
  <c r="V11" i="2"/>
  <c r="T11" i="2"/>
  <c r="P11" i="2"/>
  <c r="K11" i="2"/>
  <c r="U11" i="2"/>
  <c r="I12" i="2"/>
  <c r="Q11" i="2"/>
  <c r="R11" i="2"/>
  <c r="L11" i="2"/>
  <c r="M11" i="2"/>
  <c r="X11" i="2"/>
  <c r="Y11" i="2"/>
  <c r="W11" i="2"/>
  <c r="P7" i="2"/>
  <c r="O8" i="2"/>
  <c r="B15" i="2"/>
  <c r="E14" i="2"/>
  <c r="C14" i="2"/>
  <c r="E13" i="2"/>
  <c r="D23" i="12" l="1"/>
  <c r="E24" i="12"/>
  <c r="C24" i="12"/>
  <c r="B25" i="12"/>
  <c r="V8" i="12"/>
  <c r="W7" i="12"/>
  <c r="AA21" i="12"/>
  <c r="AC21" i="12"/>
  <c r="AB21" i="12"/>
  <c r="Z21" i="12"/>
  <c r="Y21" i="12"/>
  <c r="X21" i="12"/>
  <c r="W21" i="12"/>
  <c r="T21" i="12"/>
  <c r="I22" i="12"/>
  <c r="V21" i="12"/>
  <c r="U21" i="12"/>
  <c r="T33" i="12"/>
  <c r="S32" i="12"/>
  <c r="S31" i="12"/>
  <c r="D13" i="2"/>
  <c r="AB12" i="2"/>
  <c r="AA12" i="2"/>
  <c r="Z12" i="2"/>
  <c r="AC12" i="2"/>
  <c r="J31" i="2"/>
  <c r="J32" i="2"/>
  <c r="J35" i="2" s="1"/>
  <c r="S12" i="2"/>
  <c r="Y12" i="2"/>
  <c r="M12" i="2"/>
  <c r="N12" i="2"/>
  <c r="R12" i="2"/>
  <c r="Q12" i="2"/>
  <c r="X12" i="2"/>
  <c r="T12" i="2"/>
  <c r="P12" i="2"/>
  <c r="L12" i="2"/>
  <c r="U12" i="2"/>
  <c r="I13" i="2"/>
  <c r="W12" i="2"/>
  <c r="V12" i="2"/>
  <c r="O12" i="2"/>
  <c r="K33" i="2"/>
  <c r="K12" i="2"/>
  <c r="K31" i="2" s="1"/>
  <c r="P8" i="2"/>
  <c r="Q7" i="2"/>
  <c r="B16" i="2"/>
  <c r="E15" i="2"/>
  <c r="C15" i="2"/>
  <c r="D14" i="2"/>
  <c r="D24" i="12" l="1"/>
  <c r="E25" i="12"/>
  <c r="C25" i="12"/>
  <c r="B26" i="12"/>
  <c r="W8" i="12"/>
  <c r="X7" i="12"/>
  <c r="AC22" i="12"/>
  <c r="AB22" i="12"/>
  <c r="Z22" i="12"/>
  <c r="AA22" i="12"/>
  <c r="Y22" i="12"/>
  <c r="V22" i="12"/>
  <c r="X22" i="12"/>
  <c r="W22" i="12"/>
  <c r="I23" i="12"/>
  <c r="U22" i="12"/>
  <c r="U33" i="12"/>
  <c r="T32" i="12"/>
  <c r="T31" i="12"/>
  <c r="AA13" i="2"/>
  <c r="Z13" i="2"/>
  <c r="AB13" i="2"/>
  <c r="AC13" i="2"/>
  <c r="Y13" i="2"/>
  <c r="K32" i="2"/>
  <c r="K35" i="2" s="1"/>
  <c r="L33" i="2"/>
  <c r="O13" i="2"/>
  <c r="W13" i="2"/>
  <c r="V13" i="2"/>
  <c r="N13" i="2"/>
  <c r="X13" i="2"/>
  <c r="S13" i="2"/>
  <c r="T13" i="2"/>
  <c r="P13" i="2"/>
  <c r="L13" i="2"/>
  <c r="L31" i="2" s="1"/>
  <c r="R13" i="2"/>
  <c r="U13" i="2"/>
  <c r="Q13" i="2"/>
  <c r="I14" i="2"/>
  <c r="M13" i="2"/>
  <c r="Q8" i="2"/>
  <c r="R7" i="2"/>
  <c r="D15" i="2"/>
  <c r="B17" i="2"/>
  <c r="E16" i="2"/>
  <c r="C16" i="2"/>
  <c r="D25" i="12" l="1"/>
  <c r="U32" i="12"/>
  <c r="U31" i="12"/>
  <c r="X8" i="12"/>
  <c r="Y7" i="12"/>
  <c r="B27" i="12"/>
  <c r="E26" i="12"/>
  <c r="C26" i="12"/>
  <c r="AB23" i="12"/>
  <c r="X23" i="12"/>
  <c r="AA23" i="12"/>
  <c r="Z23" i="12"/>
  <c r="Y23" i="12"/>
  <c r="W23" i="12"/>
  <c r="I24" i="12"/>
  <c r="V23" i="12"/>
  <c r="AC23" i="12"/>
  <c r="V33" i="12"/>
  <c r="L32" i="2"/>
  <c r="L35" i="2" s="1"/>
  <c r="AA14" i="2"/>
  <c r="Z14" i="2"/>
  <c r="AC14" i="2"/>
  <c r="AB14" i="2"/>
  <c r="U14" i="2"/>
  <c r="T14" i="2"/>
  <c r="W14" i="2"/>
  <c r="P14" i="2"/>
  <c r="M33" i="2"/>
  <c r="I15" i="2"/>
  <c r="X14" i="2"/>
  <c r="V14" i="2"/>
  <c r="M14" i="2"/>
  <c r="Y14" i="2"/>
  <c r="S14" i="2"/>
  <c r="O14" i="2"/>
  <c r="R14" i="2"/>
  <c r="Q14" i="2"/>
  <c r="N14" i="2"/>
  <c r="R8" i="2"/>
  <c r="S7" i="2"/>
  <c r="B18" i="2"/>
  <c r="E17" i="2"/>
  <c r="C17" i="2"/>
  <c r="D16" i="2"/>
  <c r="C27" i="12" l="1"/>
  <c r="B28" i="12"/>
  <c r="E27" i="12"/>
  <c r="Y8" i="12"/>
  <c r="Z7" i="12"/>
  <c r="V32" i="12"/>
  <c r="V31" i="12"/>
  <c r="AB24" i="12"/>
  <c r="AA24" i="12"/>
  <c r="Y24" i="12"/>
  <c r="Z24" i="12"/>
  <c r="X24" i="12"/>
  <c r="W24" i="12"/>
  <c r="I25" i="12"/>
  <c r="AC24" i="12"/>
  <c r="W33" i="12"/>
  <c r="D26" i="12"/>
  <c r="O15" i="2"/>
  <c r="AA15" i="2"/>
  <c r="Z15" i="2"/>
  <c r="AB15" i="2"/>
  <c r="AC15" i="2"/>
  <c r="M32" i="2"/>
  <c r="M35" i="2" s="1"/>
  <c r="M31" i="2"/>
  <c r="S15" i="2"/>
  <c r="I16" i="2"/>
  <c r="Q16" i="2" s="1"/>
  <c r="R15" i="2"/>
  <c r="W15" i="2"/>
  <c r="N33" i="2"/>
  <c r="V15" i="2"/>
  <c r="Y15" i="2"/>
  <c r="N15" i="2"/>
  <c r="N31" i="2" s="1"/>
  <c r="U15" i="2"/>
  <c r="P15" i="2"/>
  <c r="Q15" i="2"/>
  <c r="T15" i="2"/>
  <c r="X15" i="2"/>
  <c r="T7" i="2"/>
  <c r="S8" i="2"/>
  <c r="D17" i="2"/>
  <c r="B19" i="2"/>
  <c r="E18" i="2"/>
  <c r="C18" i="2"/>
  <c r="Z8" i="12" l="1"/>
  <c r="AA7" i="12"/>
  <c r="E28" i="12"/>
  <c r="C28" i="12"/>
  <c r="D28" i="12" s="1"/>
  <c r="B29" i="12"/>
  <c r="AC25" i="12"/>
  <c r="Y25" i="12"/>
  <c r="AB25" i="12"/>
  <c r="AA25" i="12"/>
  <c r="Z25" i="12"/>
  <c r="X25" i="12"/>
  <c r="I26" i="12"/>
  <c r="X33" i="12"/>
  <c r="W32" i="12"/>
  <c r="W31" i="12"/>
  <c r="D27" i="12"/>
  <c r="I17" i="2"/>
  <c r="AB17" i="2" s="1"/>
  <c r="O16" i="2"/>
  <c r="O32" i="2" s="1"/>
  <c r="O35" i="2" s="1"/>
  <c r="N32" i="2"/>
  <c r="N35" i="2" s="1"/>
  <c r="W16" i="2"/>
  <c r="AA16" i="2"/>
  <c r="Z16" i="2"/>
  <c r="AC16" i="2"/>
  <c r="AB16" i="2"/>
  <c r="R16" i="2"/>
  <c r="U16" i="2"/>
  <c r="V16" i="2"/>
  <c r="O33" i="2"/>
  <c r="T16" i="2"/>
  <c r="Y16" i="2"/>
  <c r="S16" i="2"/>
  <c r="X16" i="2"/>
  <c r="P16" i="2"/>
  <c r="T8" i="2"/>
  <c r="U7" i="2"/>
  <c r="V17" i="2"/>
  <c r="Q17" i="2"/>
  <c r="Y17" i="2"/>
  <c r="T17" i="2"/>
  <c r="U17" i="2"/>
  <c r="X17" i="2"/>
  <c r="P33" i="2"/>
  <c r="B20" i="2"/>
  <c r="E19" i="2"/>
  <c r="C19" i="2"/>
  <c r="D18" i="2"/>
  <c r="W17" i="2" l="1"/>
  <c r="I18" i="2"/>
  <c r="AA18" i="2" s="1"/>
  <c r="Z17" i="2"/>
  <c r="AA17" i="2"/>
  <c r="AB26" i="12"/>
  <c r="AC26" i="12"/>
  <c r="AA26" i="12"/>
  <c r="Z26" i="12"/>
  <c r="Y26" i="12"/>
  <c r="I27" i="12"/>
  <c r="I31" i="12"/>
  <c r="Y33" i="12"/>
  <c r="X31" i="12"/>
  <c r="X32" i="12"/>
  <c r="AA8" i="12"/>
  <c r="AB7" i="12"/>
  <c r="B30" i="12"/>
  <c r="E29" i="12"/>
  <c r="C29" i="12"/>
  <c r="D29" i="12" s="1"/>
  <c r="R17" i="2"/>
  <c r="AC17" i="2"/>
  <c r="P17" i="2"/>
  <c r="P31" i="2" s="1"/>
  <c r="S17" i="2"/>
  <c r="O31" i="2"/>
  <c r="AB18" i="2"/>
  <c r="U8" i="2"/>
  <c r="V7" i="2"/>
  <c r="T18" i="2"/>
  <c r="X18" i="2"/>
  <c r="Q18" i="2"/>
  <c r="U18" i="2"/>
  <c r="Y18" i="2"/>
  <c r="W18" i="2"/>
  <c r="I19" i="2"/>
  <c r="V18" i="2"/>
  <c r="Q33" i="2"/>
  <c r="D19" i="2"/>
  <c r="B21" i="2"/>
  <c r="E20" i="2"/>
  <c r="C20" i="2"/>
  <c r="AC18" i="2" l="1"/>
  <c r="R18" i="2"/>
  <c r="Z18" i="2"/>
  <c r="S18" i="2"/>
  <c r="AC7" i="12"/>
  <c r="AC8" i="12" s="1"/>
  <c r="AB8" i="12"/>
  <c r="I28" i="12"/>
  <c r="AC27" i="12"/>
  <c r="AB27" i="12"/>
  <c r="AA27" i="12"/>
  <c r="Z27" i="12"/>
  <c r="Z33" i="12"/>
  <c r="Y32" i="12"/>
  <c r="Y31" i="12"/>
  <c r="C30" i="12"/>
  <c r="D30" i="12" s="1"/>
  <c r="B31" i="12"/>
  <c r="E30" i="12"/>
  <c r="P32" i="2"/>
  <c r="P35" i="2" s="1"/>
  <c r="AA19" i="2"/>
  <c r="Z19" i="2"/>
  <c r="AC19" i="2"/>
  <c r="AB19" i="2"/>
  <c r="Q31" i="2"/>
  <c r="Q32" i="2"/>
  <c r="Q35" i="2" s="1"/>
  <c r="W7" i="2"/>
  <c r="V8" i="2"/>
  <c r="S19" i="2"/>
  <c r="W19" i="2"/>
  <c r="T19" i="2"/>
  <c r="X19" i="2"/>
  <c r="V19" i="2"/>
  <c r="I20" i="2"/>
  <c r="Y19" i="2"/>
  <c r="U19" i="2"/>
  <c r="R19" i="2"/>
  <c r="R33" i="2"/>
  <c r="D20" i="2"/>
  <c r="B22" i="2"/>
  <c r="E21" i="2"/>
  <c r="C21" i="2"/>
  <c r="E31" i="12" l="1"/>
  <c r="B32" i="12"/>
  <c r="C31" i="12"/>
  <c r="D31" i="12" s="1"/>
  <c r="Z31" i="12"/>
  <c r="Z32" i="12"/>
  <c r="I29" i="12"/>
  <c r="AC28" i="12"/>
  <c r="AB28" i="12"/>
  <c r="AA28" i="12"/>
  <c r="AA33" i="12"/>
  <c r="AC20" i="2"/>
  <c r="AA20" i="2"/>
  <c r="Z20" i="2"/>
  <c r="AB20" i="2"/>
  <c r="R31" i="2"/>
  <c r="R32" i="2"/>
  <c r="R35" i="2" s="1"/>
  <c r="X7" i="2"/>
  <c r="W8" i="2"/>
  <c r="S20" i="2"/>
  <c r="W20" i="2"/>
  <c r="T20" i="2"/>
  <c r="X20" i="2"/>
  <c r="V20" i="2"/>
  <c r="U20" i="2"/>
  <c r="Y20" i="2"/>
  <c r="I21" i="2"/>
  <c r="S33" i="2"/>
  <c r="D21" i="2"/>
  <c r="B23" i="2"/>
  <c r="E22" i="2"/>
  <c r="C22" i="2"/>
  <c r="AA32" i="12" l="1"/>
  <c r="AA31" i="12"/>
  <c r="AC29" i="12"/>
  <c r="AB29" i="12"/>
  <c r="I30" i="12"/>
  <c r="AB33" i="12"/>
  <c r="E32" i="12"/>
  <c r="C32" i="12"/>
  <c r="D32" i="12" s="1"/>
  <c r="B33" i="12"/>
  <c r="S31" i="2"/>
  <c r="S32" i="2"/>
  <c r="S35" i="2" s="1"/>
  <c r="AB21" i="2"/>
  <c r="AA21" i="2"/>
  <c r="AC21" i="2"/>
  <c r="Z21" i="2"/>
  <c r="Y7" i="2"/>
  <c r="Z7" i="2" s="1"/>
  <c r="X8" i="2"/>
  <c r="T21" i="2"/>
  <c r="X21" i="2"/>
  <c r="U21" i="2"/>
  <c r="Y21" i="2"/>
  <c r="W21" i="2"/>
  <c r="I22" i="2"/>
  <c r="V21" i="2"/>
  <c r="T33" i="2"/>
  <c r="D22" i="2"/>
  <c r="B24" i="2"/>
  <c r="E24" i="2" s="1"/>
  <c r="E23" i="2"/>
  <c r="C23" i="2"/>
  <c r="E33" i="12" l="1"/>
  <c r="C33" i="12"/>
  <c r="D33" i="12" s="1"/>
  <c r="B34" i="12"/>
  <c r="AB32" i="12"/>
  <c r="AB31" i="12"/>
  <c r="AC30" i="12"/>
  <c r="AC33" i="12"/>
  <c r="AA7" i="2"/>
  <c r="Z8" i="2"/>
  <c r="AB22" i="2"/>
  <c r="AA22" i="2"/>
  <c r="AC22" i="2"/>
  <c r="Z22" i="2"/>
  <c r="T31" i="2"/>
  <c r="T32" i="2"/>
  <c r="T35" i="2" s="1"/>
  <c r="Y8" i="2"/>
  <c r="V22" i="2"/>
  <c r="I23" i="2"/>
  <c r="W22" i="2"/>
  <c r="Y22" i="2"/>
  <c r="X22" i="2"/>
  <c r="U22" i="2"/>
  <c r="U33" i="2"/>
  <c r="D23" i="2"/>
  <c r="B25" i="2"/>
  <c r="E25" i="2" s="1"/>
  <c r="C24" i="2"/>
  <c r="AC32" i="12" l="1"/>
  <c r="AC31" i="12"/>
  <c r="E34" i="12"/>
  <c r="E35" i="12" s="1"/>
  <c r="C34" i="12"/>
  <c r="U31" i="2"/>
  <c r="U32" i="2"/>
  <c r="U35" i="2" s="1"/>
  <c r="AC23" i="2"/>
  <c r="AB23" i="2"/>
  <c r="AA23" i="2"/>
  <c r="Z23" i="2"/>
  <c r="AA8" i="2"/>
  <c r="AB7" i="2"/>
  <c r="Y23" i="2"/>
  <c r="I24" i="2"/>
  <c r="V23" i="2"/>
  <c r="X23" i="2"/>
  <c r="W23" i="2"/>
  <c r="V33" i="2"/>
  <c r="D24" i="2"/>
  <c r="B26" i="2"/>
  <c r="E26" i="2" s="1"/>
  <c r="C25" i="2"/>
  <c r="D34" i="12" l="1"/>
  <c r="D35" i="12" s="1"/>
  <c r="C35" i="12"/>
  <c r="K3" i="12" s="1"/>
  <c r="M3" i="12" s="1"/>
  <c r="AB8" i="2"/>
  <c r="AC7" i="2"/>
  <c r="AC8" i="2" s="1"/>
  <c r="V31" i="2"/>
  <c r="V32" i="2"/>
  <c r="V35" i="2" s="1"/>
  <c r="AB24" i="2"/>
  <c r="AA24" i="2"/>
  <c r="AC24" i="2"/>
  <c r="Z24" i="2"/>
  <c r="Y24" i="2"/>
  <c r="I25" i="2"/>
  <c r="X24" i="2"/>
  <c r="W24" i="2"/>
  <c r="W33" i="2"/>
  <c r="D25" i="2"/>
  <c r="B27" i="2"/>
  <c r="E27" i="2" s="1"/>
  <c r="C26" i="2"/>
  <c r="O3" i="12" l="1"/>
  <c r="R3" i="12" s="1"/>
  <c r="W32" i="2"/>
  <c r="W35" i="2" s="1"/>
  <c r="W31" i="2"/>
  <c r="AC25" i="2"/>
  <c r="AB25" i="2"/>
  <c r="AA25" i="2"/>
  <c r="Y25" i="2"/>
  <c r="Z25" i="2"/>
  <c r="I26" i="2"/>
  <c r="X25" i="2"/>
  <c r="X33" i="2"/>
  <c r="D26" i="2"/>
  <c r="B28" i="2"/>
  <c r="E28" i="2" s="1"/>
  <c r="C27" i="2"/>
  <c r="I31" i="2" l="1"/>
  <c r="AB26" i="2"/>
  <c r="AA26" i="2"/>
  <c r="Z26" i="2"/>
  <c r="AC26" i="2"/>
  <c r="I27" i="2"/>
  <c r="X31" i="2"/>
  <c r="X32" i="2"/>
  <c r="X35" i="2" s="1"/>
  <c r="Y26" i="2"/>
  <c r="Y33" i="2"/>
  <c r="D27" i="2"/>
  <c r="B29" i="2"/>
  <c r="E29" i="2" s="1"/>
  <c r="C28" i="2"/>
  <c r="D28" i="2" s="1"/>
  <c r="I28" i="2" l="1"/>
  <c r="AA27" i="2"/>
  <c r="AB27" i="2"/>
  <c r="Z27" i="2"/>
  <c r="AC27" i="2"/>
  <c r="Z33" i="2"/>
  <c r="Y32" i="2"/>
  <c r="Y35" i="2" s="1"/>
  <c r="Y31" i="2"/>
  <c r="B30" i="2"/>
  <c r="E30" i="2" s="1"/>
  <c r="C29" i="2"/>
  <c r="Z32" i="2" l="1"/>
  <c r="Z35" i="2" s="1"/>
  <c r="Z31" i="2"/>
  <c r="I29" i="2"/>
  <c r="AC28" i="2"/>
  <c r="AA28" i="2"/>
  <c r="AB28" i="2"/>
  <c r="AA33" i="2"/>
  <c r="D29" i="2"/>
  <c r="B31" i="2"/>
  <c r="E31" i="2" s="1"/>
  <c r="C30" i="2"/>
  <c r="D30" i="2" s="1"/>
  <c r="I30" i="2" l="1"/>
  <c r="AC29" i="2"/>
  <c r="AB29" i="2"/>
  <c r="AB33" i="2"/>
  <c r="AA32" i="2"/>
  <c r="AA35" i="2" s="1"/>
  <c r="AA31" i="2"/>
  <c r="B32" i="2"/>
  <c r="E32" i="2" s="1"/>
  <c r="C31" i="2"/>
  <c r="AB31" i="2" l="1"/>
  <c r="AB32" i="2"/>
  <c r="AB35" i="2" s="1"/>
  <c r="AC30" i="2"/>
  <c r="AC33" i="2"/>
  <c r="D31" i="2"/>
  <c r="B33" i="2"/>
  <c r="E33" i="2" s="1"/>
  <c r="C32" i="2"/>
  <c r="AC32" i="2" l="1"/>
  <c r="AC35" i="2" s="1"/>
  <c r="AC31" i="2"/>
  <c r="D32" i="2"/>
  <c r="B34" i="2"/>
  <c r="E34" i="2" s="1"/>
  <c r="E35" i="2" s="1"/>
  <c r="C33" i="2"/>
  <c r="D33" i="2" l="1"/>
  <c r="C34" i="2"/>
  <c r="C35" i="2" s="1"/>
  <c r="D34" i="2" l="1"/>
  <c r="D35" i="2" s="1"/>
  <c r="K3" i="2" l="1"/>
  <c r="O3" i="2" s="1"/>
  <c r="R3" i="2" s="1"/>
</calcChain>
</file>

<file path=xl/sharedStrings.xml><?xml version="1.0" encoding="utf-8"?>
<sst xmlns="http://schemas.openxmlformats.org/spreadsheetml/2006/main" count="150" uniqueCount="87">
  <si>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</si>
  <si>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</si>
  <si>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</si>
  <si>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</si>
  <si>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</si>
  <si>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</si>
  <si>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</si>
  <si>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</si>
  <si>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</si>
  <si>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</si>
  <si>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</si>
  <si>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</si>
  <si>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Hệ số nhân</t>
  </si>
  <si>
    <t>TP</t>
  </si>
  <si>
    <t>DCA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</si>
  <si>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</si>
  <si>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</si>
  <si>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</si>
  <si>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</si>
  <si>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</si>
  <si>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</si>
  <si>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</si>
  <si>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</si>
  <si>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</si>
  <si>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</si>
  <si>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</si>
  <si>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</si>
  <si>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</si>
  <si>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</si>
  <si>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</si>
  <si>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</si>
  <si>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</si>
  <si>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</si>
  <si>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</si>
  <si>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</si>
  <si>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</si>
  <si>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</si>
  <si>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</si>
  <si>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</si>
  <si>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</si>
  <si>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</si>
  <si>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</si>
  <si>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</si>
  <si>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</si>
  <si>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</si>
  <si>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</si>
  <si>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Total</t>
  </si>
  <si>
    <t>Tổng lot</t>
  </si>
  <si>
    <t>Ký quỹ</t>
  </si>
  <si>
    <t>Tổng vốn cần có</t>
  </si>
  <si>
    <t xml:space="preserve">Hệ số </t>
  </si>
  <si>
    <t>L</t>
    <phoneticPr fontId="7"/>
  </si>
  <si>
    <t>Price</t>
    <phoneticPr fontId="7"/>
  </si>
  <si>
    <t>Quãng giá dca</t>
    <phoneticPr fontId="7"/>
  </si>
  <si>
    <t>is_allow_trend_shift</t>
    <phoneticPr fontId="7"/>
  </si>
  <si>
    <t>iStochastic</t>
    <phoneticPr fontId="7"/>
  </si>
  <si>
    <r>
      <t>Không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游ゴシック"/>
        <family val="2"/>
        <scheme val="minor"/>
      </rPr>
      <t>m tra</t>
    </r>
    <phoneticPr fontId="7"/>
  </si>
  <si>
    <t>12h</t>
    <phoneticPr fontId="7"/>
  </si>
  <si>
    <t>1h</t>
    <phoneticPr fontId="7"/>
  </si>
  <si>
    <t>109k</t>
    <phoneticPr fontId="7"/>
  </si>
  <si>
    <t>115k</t>
    <phoneticPr fontId="7"/>
  </si>
  <si>
    <t>144k</t>
    <phoneticPr fontId="7"/>
  </si>
  <si>
    <t>110k</t>
    <phoneticPr fontId="7"/>
  </si>
  <si>
    <t>4h</t>
    <phoneticPr fontId="7"/>
  </si>
  <si>
    <t>iStochastic + 1h</t>
    <phoneticPr fontId="7"/>
  </si>
  <si>
    <t>103k</t>
    <phoneticPr fontId="7"/>
  </si>
  <si>
    <t>iStochastic + 4h</t>
    <phoneticPr fontId="7"/>
  </si>
  <si>
    <t>106k</t>
    <phoneticPr fontId="7"/>
  </si>
  <si>
    <t>iStochastic + 8h</t>
    <phoneticPr fontId="7"/>
  </si>
  <si>
    <t>101k</t>
    <phoneticPr fontId="7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</si>
  <si>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游ゴシック"/>
        <family val="2"/>
        <scheme val="minor"/>
      </rPr>
      <t>t:</t>
    </r>
    <phoneticPr fontId="7"/>
  </si>
  <si>
    <t>TP</t>
    <phoneticPr fontId="7"/>
  </si>
  <si>
    <t>Khối lượng ban đầu</t>
    <phoneticPr fontId="7"/>
  </si>
  <si>
    <t>Số Lệnh đánh</t>
    <phoneticPr fontId="7"/>
  </si>
  <si>
    <t>TP L17</t>
  </si>
  <si>
    <t>TP L18</t>
  </si>
  <si>
    <t>TP L19</t>
  </si>
  <si>
    <t>TP L20</t>
  </si>
  <si>
    <t>Điền hệ số nhân</t>
  </si>
  <si>
    <t>Điền quãng giá</t>
  </si>
  <si>
    <t>Điền TP</t>
  </si>
  <si>
    <t>Hệ số</t>
  </si>
  <si>
    <t>Vol</t>
  </si>
  <si>
    <t>Gồng</t>
    <phoneticPr fontId="7"/>
  </si>
  <si>
    <t>DCA</t>
    <phoneticPr fontId="7"/>
  </si>
  <si>
    <t>Profit</t>
    <phoneticPr fontId="7"/>
  </si>
  <si>
    <t>Volume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</si>
</sst>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_(* #,##0.00_);_(* \(#,##0.00\);_(* &quot;-&quot;??_);_(@_)"/>
    <numFmt numFmtId="177" formatCode="_(* #,##0.0_);_(* \(#,##0.0\);_(* &quot;-&quot;??_);_(@_)"/>
    <numFmt numFmtId="178" formatCode="_(* #,##0_);_(* \(#,##0\);_(* &quot;-&quot;??_);_(@_)"/>
    <numFmt numFmtId="179" formatCode="0;\-0;;\ @"/>
    <numFmt numFmtId="180" formatCode="0.00;\-0.00;;\ @"/>
    <numFmt numFmtId="181" formatCode="#,##0.000"/>
    <numFmt numFmtId="182" formatCode="#,##0.000_);\(#,##0.000\)"/>
    <numFmt numFmtId="183" formatCode="#,##0.0"/>
    <numFmt numFmtId="184" formatCode="#,##0.0_);\(#,##0.0\)"/>
    <numFmt numFmtId="185" formatCode="#,##0_ "/>
    <numFmt numFmtId="186" formatCode="0.00000_ "/>
    <numFmt numFmtId="187" formatCode="#,##0.00000_);\(#,##0.00000\)"/>
    <numFmt numFmtId="188" formatCode="0.00_);[Red]\(0.00\)"/>
  </numFmts>
  <fonts count="28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0"/>
      <color rgb="FF000000"/>
      <name val="游ゴシック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1"/>
      <color theme="1"/>
      <name val="Calibri"/>
      <family val="2"/>
      <charset val="163"/>
    </font>
    <font>
      <b/>
      <sz val="12"/>
      <color theme="4" tint="-0.499984740745262"/>
      <name val="Arial"/>
      <family val="2"/>
    </font>
    <font>
      <i/>
      <u/>
      <sz val="11"/>
      <color theme="1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176" fontId="1" fillId="0" borderId="0" applyFont="0" applyFill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11" applyNumberFormat="0" applyAlignment="0" applyProtection="0"/>
  </cellStyleXfs>
  <cellXfs count="133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3" fontId="3" fillId="0" borderId="10" xfId="2" applyNumberFormat="1" applyFont="1" applyBorder="1"/>
    <xf numFmtId="181" fontId="3" fillId="0" borderId="10" xfId="2" applyNumberFormat="1" applyFont="1" applyBorder="1"/>
    <xf numFmtId="0" fontId="8" fillId="0" borderId="0" xfId="2" applyFont="1"/>
    <xf numFmtId="179" fontId="9" fillId="3" borderId="0" xfId="1" applyNumberFormat="1" applyFont="1" applyFill="1"/>
    <xf numFmtId="180" fontId="9" fillId="3" borderId="0" xfId="1" applyNumberFormat="1" applyFont="1" applyFill="1"/>
    <xf numFmtId="180" fontId="9" fillId="0" borderId="6" xfId="1" applyNumberFormat="1" applyFont="1" applyBorder="1"/>
    <xf numFmtId="179" fontId="9" fillId="0" borderId="7" xfId="1" applyNumberFormat="1" applyFont="1" applyBorder="1"/>
    <xf numFmtId="180" fontId="9" fillId="0" borderId="1" xfId="1" applyNumberFormat="1" applyFont="1" applyBorder="1"/>
    <xf numFmtId="179" fontId="8" fillId="0" borderId="0" xfId="2" applyNumberFormat="1" applyFont="1"/>
    <xf numFmtId="180" fontId="8" fillId="0" borderId="0" xfId="2" applyNumberFormat="1" applyFont="1"/>
    <xf numFmtId="4" fontId="10" fillId="10" borderId="0" xfId="0" applyNumberFormat="1" applyFont="1" applyFill="1" applyAlignment="1">
      <alignment horizontal="center" vertical="center"/>
    </xf>
    <xf numFmtId="4" fontId="10" fillId="12" borderId="10" xfId="0" applyNumberFormat="1" applyFont="1" applyFill="1" applyBorder="1" applyAlignment="1">
      <alignment horizontal="center" vertical="center"/>
    </xf>
    <xf numFmtId="4" fontId="10" fillId="11" borderId="12" xfId="0" applyNumberFormat="1" applyFont="1" applyFill="1" applyBorder="1" applyAlignment="1">
      <alignment horizontal="center" vertical="center"/>
    </xf>
    <xf numFmtId="4" fontId="11" fillId="0" borderId="10" xfId="0" applyNumberFormat="1" applyFont="1" applyBorder="1" applyAlignment="1">
      <alignment horizontal="center" vertical="center"/>
    </xf>
    <xf numFmtId="4" fontId="10" fillId="0" borderId="10" xfId="0" applyNumberFormat="1" applyFont="1" applyBorder="1" applyAlignment="1">
      <alignment horizontal="center" vertical="center"/>
    </xf>
    <xf numFmtId="3" fontId="10" fillId="0" borderId="14" xfId="0" applyNumberFormat="1" applyFont="1" applyBorder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10" fillId="0" borderId="0" xfId="2" applyFont="1"/>
    <xf numFmtId="179" fontId="12" fillId="2" borderId="2" xfId="1" applyNumberFormat="1" applyFont="1" applyFill="1" applyBorder="1" applyAlignment="1">
      <alignment horizontal="center" vertical="center"/>
    </xf>
    <xf numFmtId="180" fontId="12" fillId="2" borderId="3" xfId="1" applyNumberFormat="1" applyFont="1" applyFill="1" applyBorder="1" applyAlignment="1">
      <alignment horizontal="center" vertical="center"/>
    </xf>
    <xf numFmtId="179" fontId="12" fillId="2" borderId="4" xfId="1" applyNumberFormat="1" applyFont="1" applyFill="1" applyBorder="1" applyAlignment="1">
      <alignment horizontal="center" vertical="center"/>
    </xf>
    <xf numFmtId="179" fontId="9" fillId="0" borderId="5" xfId="1" applyNumberFormat="1" applyFont="1" applyBorder="1" applyAlignment="1">
      <alignment horizontal="center" vertical="center"/>
    </xf>
    <xf numFmtId="3" fontId="12" fillId="2" borderId="4" xfId="1" applyNumberFormat="1" applyFont="1" applyFill="1" applyBorder="1" applyAlignment="1">
      <alignment vertical="center"/>
    </xf>
    <xf numFmtId="179" fontId="12" fillId="2" borderId="4" xfId="1" applyNumberFormat="1" applyFont="1" applyFill="1" applyBorder="1" applyAlignment="1">
      <alignment vertical="center"/>
    </xf>
    <xf numFmtId="0" fontId="16" fillId="0" borderId="0" xfId="2" applyFont="1"/>
    <xf numFmtId="0" fontId="10" fillId="4" borderId="8" xfId="2" applyFont="1" applyFill="1" applyBorder="1" applyAlignment="1">
      <alignment horizontal="center"/>
    </xf>
    <xf numFmtId="0" fontId="18" fillId="4" borderId="10" xfId="2" applyFont="1" applyFill="1" applyBorder="1" applyAlignment="1">
      <alignment horizontal="center" vertical="center"/>
    </xf>
    <xf numFmtId="4" fontId="18" fillId="0" borderId="10" xfId="2" applyNumberFormat="1" applyFont="1" applyBorder="1" applyAlignment="1">
      <alignment horizontal="center"/>
    </xf>
    <xf numFmtId="3" fontId="18" fillId="0" borderId="10" xfId="2" applyNumberFormat="1" applyFont="1" applyBorder="1" applyAlignment="1">
      <alignment horizontal="right"/>
    </xf>
    <xf numFmtId="3" fontId="18" fillId="0" borderId="10" xfId="2" applyNumberFormat="1" applyFont="1" applyBorder="1"/>
    <xf numFmtId="0" fontId="18" fillId="13" borderId="10" xfId="2" applyFont="1" applyFill="1" applyBorder="1" applyAlignment="1">
      <alignment horizontal="center" vertical="center"/>
    </xf>
    <xf numFmtId="0" fontId="18" fillId="6" borderId="10" xfId="2" applyFont="1" applyFill="1" applyBorder="1" applyAlignment="1">
      <alignment horizontal="center"/>
    </xf>
    <xf numFmtId="4" fontId="18" fillId="5" borderId="10" xfId="2" applyNumberFormat="1" applyFont="1" applyFill="1" applyBorder="1" applyAlignment="1">
      <alignment horizontal="center"/>
    </xf>
    <xf numFmtId="0" fontId="18" fillId="0" borderId="10" xfId="2" applyFont="1" applyBorder="1" applyAlignment="1">
      <alignment horizontal="center"/>
    </xf>
    <xf numFmtId="3" fontId="19" fillId="0" borderId="10" xfId="2" applyNumberFormat="1" applyFont="1" applyBorder="1" applyAlignment="1">
      <alignment horizontal="right"/>
    </xf>
    <xf numFmtId="0" fontId="3" fillId="0" borderId="0" xfId="2" applyFont="1" applyAlignment="1">
      <alignment horizontal="center" vertical="center"/>
    </xf>
    <xf numFmtId="4" fontId="3" fillId="0" borderId="0" xfId="2" applyNumberFormat="1" applyFont="1"/>
    <xf numFmtId="0" fontId="15" fillId="0" borderId="0" xfId="2" applyFont="1" applyAlignment="1">
      <alignment vertical="center"/>
    </xf>
    <xf numFmtId="4" fontId="18" fillId="15" borderId="10" xfId="2" applyNumberFormat="1" applyFont="1" applyFill="1" applyBorder="1" applyAlignment="1">
      <alignment horizontal="center" vertical="center"/>
    </xf>
    <xf numFmtId="177" fontId="14" fillId="0" borderId="10" xfId="3" applyNumberFormat="1" applyFont="1" applyBorder="1" applyAlignment="1">
      <alignment vertical="center"/>
    </xf>
    <xf numFmtId="0" fontId="13" fillId="0" borderId="19" xfId="1" applyFont="1" applyBorder="1"/>
    <xf numFmtId="0" fontId="13" fillId="0" borderId="20" xfId="1" applyFont="1" applyBorder="1"/>
    <xf numFmtId="179" fontId="8" fillId="0" borderId="18" xfId="2" applyNumberFormat="1" applyFont="1" applyBorder="1"/>
    <xf numFmtId="3" fontId="10" fillId="0" borderId="22" xfId="0" applyNumberFormat="1" applyFont="1" applyBorder="1" applyAlignment="1">
      <alignment horizontal="center" vertical="center"/>
    </xf>
    <xf numFmtId="3" fontId="10" fillId="0" borderId="26" xfId="0" applyNumberFormat="1" applyFont="1" applyBorder="1" applyAlignment="1">
      <alignment horizontal="center" vertical="center"/>
    </xf>
    <xf numFmtId="3" fontId="10" fillId="0" borderId="27" xfId="0" applyNumberFormat="1" applyFont="1" applyBorder="1" applyAlignment="1">
      <alignment horizontal="center" vertical="center"/>
    </xf>
    <xf numFmtId="3" fontId="10" fillId="0" borderId="31" xfId="0" applyNumberFormat="1" applyFont="1" applyBorder="1" applyAlignment="1">
      <alignment horizontal="center" vertical="center"/>
    </xf>
    <xf numFmtId="3" fontId="10" fillId="14" borderId="14" xfId="0" applyNumberFormat="1" applyFont="1" applyFill="1" applyBorder="1" applyAlignment="1">
      <alignment horizontal="center" vertical="center"/>
    </xf>
    <xf numFmtId="3" fontId="10" fillId="14" borderId="30" xfId="0" applyNumberFormat="1" applyFont="1" applyFill="1" applyBorder="1" applyAlignment="1">
      <alignment horizontal="center" vertical="center"/>
    </xf>
    <xf numFmtId="182" fontId="17" fillId="16" borderId="9" xfId="2" applyNumberFormat="1" applyFont="1" applyFill="1" applyBorder="1" applyAlignment="1">
      <alignment horizontal="center" vertical="center"/>
    </xf>
    <xf numFmtId="37" fontId="17" fillId="16" borderId="8" xfId="2" applyNumberFormat="1" applyFont="1" applyFill="1" applyBorder="1" applyAlignment="1">
      <alignment horizontal="center" vertical="center"/>
    </xf>
    <xf numFmtId="177" fontId="14" fillId="2" borderId="10" xfId="3" applyNumberFormat="1" applyFont="1" applyFill="1" applyBorder="1" applyAlignment="1">
      <alignment vertical="center"/>
    </xf>
    <xf numFmtId="178" fontId="14" fillId="2" borderId="10" xfId="3" applyNumberFormat="1" applyFont="1" applyFill="1" applyBorder="1" applyAlignment="1">
      <alignment vertical="center"/>
    </xf>
    <xf numFmtId="4" fontId="12" fillId="2" borderId="2" xfId="1" applyNumberFormat="1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83" fontId="10" fillId="0" borderId="10" xfId="0" applyNumberFormat="1" applyFont="1" applyBorder="1" applyAlignment="1">
      <alignment horizontal="center" vertical="center"/>
    </xf>
    <xf numFmtId="0" fontId="10" fillId="17" borderId="10" xfId="0" applyFont="1" applyFill="1" applyBorder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4" fontId="10" fillId="2" borderId="10" xfId="0" applyNumberFormat="1" applyFont="1" applyFill="1" applyBorder="1" applyAlignment="1">
      <alignment horizontal="center" vertical="center"/>
    </xf>
    <xf numFmtId="4" fontId="11" fillId="0" borderId="21" xfId="0" applyNumberFormat="1" applyFont="1" applyBorder="1" applyAlignment="1">
      <alignment horizontal="center" vertical="center"/>
    </xf>
    <xf numFmtId="4" fontId="10" fillId="3" borderId="10" xfId="0" applyNumberFormat="1" applyFont="1" applyFill="1" applyBorder="1" applyAlignment="1">
      <alignment horizontal="center" vertical="center"/>
    </xf>
    <xf numFmtId="4" fontId="10" fillId="15" borderId="10" xfId="0" applyNumberFormat="1" applyFont="1" applyFill="1" applyBorder="1" applyAlignment="1">
      <alignment horizontal="center" vertical="center"/>
    </xf>
    <xf numFmtId="4" fontId="10" fillId="0" borderId="12" xfId="0" applyNumberFormat="1" applyFont="1" applyBorder="1" applyAlignment="1">
      <alignment horizontal="center" vertical="center"/>
    </xf>
    <xf numFmtId="0" fontId="10" fillId="18" borderId="23" xfId="0" applyFont="1" applyFill="1" applyBorder="1" applyAlignment="1">
      <alignment horizontal="center" vertical="center"/>
    </xf>
    <xf numFmtId="0" fontId="11" fillId="18" borderId="24" xfId="0" applyFont="1" applyFill="1" applyBorder="1" applyAlignment="1">
      <alignment horizontal="center" vertical="center"/>
    </xf>
    <xf numFmtId="0" fontId="11" fillId="18" borderId="25" xfId="0" applyFont="1" applyFill="1" applyBorder="1" applyAlignment="1">
      <alignment horizontal="center" vertical="center"/>
    </xf>
    <xf numFmtId="0" fontId="10" fillId="18" borderId="26" xfId="0" applyFont="1" applyFill="1" applyBorder="1" applyAlignment="1">
      <alignment horizontal="center" vertical="center"/>
    </xf>
    <xf numFmtId="0" fontId="11" fillId="18" borderId="14" xfId="0" applyFont="1" applyFill="1" applyBorder="1" applyAlignment="1">
      <alignment horizontal="center" vertical="center"/>
    </xf>
    <xf numFmtId="0" fontId="11" fillId="18" borderId="27" xfId="0" applyFont="1" applyFill="1" applyBorder="1" applyAlignment="1">
      <alignment horizontal="center" vertical="center"/>
    </xf>
    <xf numFmtId="3" fontId="10" fillId="14" borderId="26" xfId="0" applyNumberFormat="1" applyFont="1" applyFill="1" applyBorder="1" applyAlignment="1">
      <alignment horizontal="center" vertical="center"/>
    </xf>
    <xf numFmtId="3" fontId="10" fillId="14" borderId="27" xfId="0" applyNumberFormat="1" applyFont="1" applyFill="1" applyBorder="1" applyAlignment="1">
      <alignment horizontal="center" vertical="center"/>
    </xf>
    <xf numFmtId="3" fontId="10" fillId="0" borderId="32" xfId="0" applyNumberFormat="1" applyFont="1" applyBorder="1" applyAlignment="1">
      <alignment horizontal="center" vertical="center"/>
    </xf>
    <xf numFmtId="3" fontId="10" fillId="0" borderId="33" xfId="0" applyNumberFormat="1" applyFont="1" applyBorder="1" applyAlignment="1">
      <alignment horizontal="center" vertical="center"/>
    </xf>
    <xf numFmtId="3" fontId="10" fillId="0" borderId="30" xfId="0" applyNumberFormat="1" applyFont="1" applyBorder="1" applyAlignment="1">
      <alignment horizontal="center" vertical="center"/>
    </xf>
    <xf numFmtId="3" fontId="10" fillId="0" borderId="34" xfId="0" applyNumberFormat="1" applyFont="1" applyBorder="1" applyAlignment="1">
      <alignment horizontal="center" vertical="center"/>
    </xf>
    <xf numFmtId="3" fontId="10" fillId="0" borderId="35" xfId="0" applyNumberFormat="1" applyFont="1" applyBorder="1" applyAlignment="1">
      <alignment horizontal="center" vertical="center"/>
    </xf>
    <xf numFmtId="3" fontId="10" fillId="0" borderId="36" xfId="0" applyNumberFormat="1" applyFont="1" applyBorder="1" applyAlignment="1">
      <alignment horizontal="center" vertical="center"/>
    </xf>
    <xf numFmtId="0" fontId="11" fillId="19" borderId="23" xfId="0" applyFont="1" applyFill="1" applyBorder="1" applyAlignment="1">
      <alignment horizontal="center" vertical="center"/>
    </xf>
    <xf numFmtId="0" fontId="11" fillId="19" borderId="24" xfId="0" applyFont="1" applyFill="1" applyBorder="1" applyAlignment="1">
      <alignment horizontal="center" vertical="center"/>
    </xf>
    <xf numFmtId="0" fontId="11" fillId="19" borderId="25" xfId="0" applyFont="1" applyFill="1" applyBorder="1" applyAlignment="1">
      <alignment horizontal="center" vertical="center"/>
    </xf>
    <xf numFmtId="0" fontId="11" fillId="19" borderId="26" xfId="0" applyFont="1" applyFill="1" applyBorder="1" applyAlignment="1">
      <alignment horizontal="center" vertical="center"/>
    </xf>
    <xf numFmtId="0" fontId="11" fillId="19" borderId="14" xfId="0" applyFont="1" applyFill="1" applyBorder="1" applyAlignment="1">
      <alignment horizontal="center" vertical="center"/>
    </xf>
    <xf numFmtId="0" fontId="11" fillId="19" borderId="27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11" fillId="20" borderId="25" xfId="0" applyFont="1" applyFill="1" applyBorder="1" applyAlignment="1">
      <alignment horizontal="center" vertical="center"/>
    </xf>
    <xf numFmtId="0" fontId="11" fillId="20" borderId="26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27" xfId="0" applyFont="1" applyFill="1" applyBorder="1" applyAlignment="1">
      <alignment horizontal="center" vertical="center"/>
    </xf>
    <xf numFmtId="3" fontId="10" fillId="14" borderId="31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0" fontId="10" fillId="18" borderId="28" xfId="0" applyFont="1" applyFill="1" applyBorder="1" applyAlignment="1">
      <alignment horizontal="center" vertical="center"/>
    </xf>
    <xf numFmtId="0" fontId="11" fillId="18" borderId="15" xfId="0" applyFont="1" applyFill="1" applyBorder="1" applyAlignment="1">
      <alignment horizontal="center" vertical="center"/>
    </xf>
    <xf numFmtId="0" fontId="11" fillId="18" borderId="29" xfId="0" applyFont="1" applyFill="1" applyBorder="1" applyAlignment="1">
      <alignment horizontal="center" vertical="center"/>
    </xf>
    <xf numFmtId="0" fontId="11" fillId="19" borderId="28" xfId="0" applyFont="1" applyFill="1" applyBorder="1" applyAlignment="1">
      <alignment horizontal="center" vertical="center"/>
    </xf>
    <xf numFmtId="0" fontId="11" fillId="19" borderId="15" xfId="0" applyFont="1" applyFill="1" applyBorder="1" applyAlignment="1">
      <alignment horizontal="center" vertical="center"/>
    </xf>
    <xf numFmtId="0" fontId="11" fillId="19" borderId="29" xfId="0" applyFont="1" applyFill="1" applyBorder="1" applyAlignment="1">
      <alignment horizontal="center" vertical="center"/>
    </xf>
    <xf numFmtId="0" fontId="11" fillId="20" borderId="28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29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27" fillId="15" borderId="35" xfId="0" applyFont="1" applyFill="1" applyBorder="1" applyAlignment="1">
      <alignment horizontal="center" vertical="center"/>
    </xf>
    <xf numFmtId="0" fontId="27" fillId="15" borderId="36" xfId="0" applyFont="1" applyFill="1" applyBorder="1" applyAlignment="1">
      <alignment horizontal="center" vertical="center"/>
    </xf>
    <xf numFmtId="0" fontId="27" fillId="15" borderId="34" xfId="0" applyFont="1" applyFill="1" applyBorder="1" applyAlignment="1">
      <alignment horizontal="center" vertical="center"/>
    </xf>
    <xf numFmtId="184" fontId="17" fillId="16" borderId="9" xfId="2" applyNumberFormat="1" applyFont="1" applyFill="1" applyBorder="1" applyAlignment="1">
      <alignment horizontal="center" vertical="center"/>
    </xf>
    <xf numFmtId="185" fontId="10" fillId="0" borderId="0" xfId="2" applyNumberFormat="1" applyFont="1"/>
    <xf numFmtId="182" fontId="14" fillId="0" borderId="10" xfId="3" applyNumberFormat="1" applyFont="1" applyFill="1" applyBorder="1" applyAlignment="1">
      <alignment vertical="center"/>
    </xf>
    <xf numFmtId="176" fontId="14" fillId="2" borderId="10" xfId="3" applyFont="1" applyFill="1" applyBorder="1" applyAlignment="1">
      <alignment vertical="center"/>
    </xf>
    <xf numFmtId="186" fontId="9" fillId="0" borderId="7" xfId="1" applyNumberFormat="1" applyFont="1" applyBorder="1"/>
    <xf numFmtId="187" fontId="14" fillId="2" borderId="10" xfId="3" applyNumberFormat="1" applyFont="1" applyFill="1" applyBorder="1" applyAlignment="1">
      <alignment vertical="center"/>
    </xf>
    <xf numFmtId="187" fontId="14" fillId="0" borderId="10" xfId="3" applyNumberFormat="1" applyFont="1" applyBorder="1" applyAlignment="1">
      <alignment vertical="center"/>
    </xf>
    <xf numFmtId="188" fontId="18" fillId="0" borderId="10" xfId="2" applyNumberFormat="1" applyFont="1" applyBorder="1" applyAlignment="1">
      <alignment horizontal="right"/>
    </xf>
    <xf numFmtId="188" fontId="3" fillId="0" borderId="10" xfId="2" applyNumberFormat="1" applyFont="1" applyBorder="1"/>
    <xf numFmtId="188" fontId="18" fillId="0" borderId="10" xfId="2" applyNumberFormat="1" applyFont="1" applyBorder="1"/>
    <xf numFmtId="188" fontId="8" fillId="0" borderId="0" xfId="2" applyNumberFormat="1" applyFont="1"/>
    <xf numFmtId="188" fontId="19" fillId="0" borderId="10" xfId="2" applyNumberFormat="1" applyFont="1" applyBorder="1" applyAlignment="1">
      <alignment horizontal="right"/>
    </xf>
    <xf numFmtId="188" fontId="25" fillId="0" borderId="10" xfId="2" applyNumberFormat="1" applyFont="1" applyBorder="1" applyAlignment="1">
      <alignment horizontal="right"/>
    </xf>
    <xf numFmtId="185" fontId="10" fillId="0" borderId="0" xfId="0" applyNumberFormat="1" applyFont="1" applyAlignment="1">
      <alignment vertical="center"/>
    </xf>
    <xf numFmtId="0" fontId="10" fillId="15" borderId="0" xfId="0" applyFont="1" applyFill="1" applyAlignment="1">
      <alignment horizontal="center" vertical="center"/>
    </xf>
    <xf numFmtId="4" fontId="25" fillId="0" borderId="10" xfId="2" applyNumberFormat="1" applyFont="1" applyBorder="1" applyAlignment="1">
      <alignment horizontal="right"/>
    </xf>
    <xf numFmtId="4" fontId="21" fillId="7" borderId="10" xfId="4" applyNumberFormat="1" applyFont="1" applyBorder="1" applyAlignment="1">
      <alignment horizontal="center"/>
    </xf>
    <xf numFmtId="0" fontId="22" fillId="8" borderId="10" xfId="5" applyFont="1" applyBorder="1" applyAlignment="1">
      <alignment horizontal="center"/>
    </xf>
    <xf numFmtId="4" fontId="23" fillId="9" borderId="10" xfId="6" applyNumberFormat="1" applyFont="1" applyBorder="1" applyAlignment="1">
      <alignment horizontal="center"/>
    </xf>
    <xf numFmtId="0" fontId="20" fillId="0" borderId="10" xfId="1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</cellXfs>
  <cellStyles count="7">
    <cellStyle name="Bad" xfId="5" builtinId="27"/>
    <cellStyle name="Comma 2" xfId="3" xr:uid="{00000000-0005-0000-0000-000001000000}"/>
    <cellStyle name="Good" xfId="4" builtinId="26"/>
    <cellStyle name="Input" xfId="6" builtinId="20"/>
    <cellStyle name="Normal" xfId="0" builtinId="0"/>
    <cellStyle name="Normal 2" xfId="1" xr:uid="{00000000-0005-0000-0000-000005000000}"/>
    <cellStyle name="Normal 3" xfId="2" xr:uid="{00000000-0005-0000-0000-000006000000}"/>
  </cellStyles>
  <dxfs count="4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238376</xdr:colOff>
      <xdr:row>53</xdr:row>
      <xdr:rowOff>169441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5827059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257422</xdr:colOff>
      <xdr:row>53</xdr:row>
      <xdr:rowOff>188489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235" y="5827059"/>
          <a:ext cx="6980952" cy="116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33</xdr:col>
      <xdr:colOff>257423</xdr:colOff>
      <xdr:row>53</xdr:row>
      <xdr:rowOff>159917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64118" y="5827059"/>
          <a:ext cx="6980952" cy="11580952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44</xdr:col>
      <xdr:colOff>311723</xdr:colOff>
      <xdr:row>53</xdr:row>
      <xdr:rowOff>49640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10618" y="5888182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55</xdr:col>
      <xdr:colOff>311723</xdr:colOff>
      <xdr:row>51</xdr:row>
      <xdr:rowOff>149265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25818" y="5888182"/>
          <a:ext cx="6961905" cy="112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11</xdr:col>
      <xdr:colOff>311723</xdr:colOff>
      <xdr:row>104</xdr:row>
      <xdr:rowOff>130219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18" y="18371127"/>
          <a:ext cx="6961905" cy="11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22</xdr:col>
      <xdr:colOff>321246</xdr:colOff>
      <xdr:row>104</xdr:row>
      <xdr:rowOff>139743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0218" y="18371127"/>
          <a:ext cx="6971428" cy="112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33</xdr:col>
      <xdr:colOff>330770</xdr:colOff>
      <xdr:row>105</xdr:row>
      <xdr:rowOff>218500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95418" y="18371127"/>
          <a:ext cx="6980952" cy="11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665017</xdr:colOff>
      <xdr:row>108</xdr:row>
      <xdr:rowOff>0</xdr:rowOff>
    </xdr:from>
    <xdr:to>
      <xdr:col>33</xdr:col>
      <xdr:colOff>10472</xdr:colOff>
      <xdr:row>157</xdr:row>
      <xdr:rowOff>55418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017" y="25436945"/>
          <a:ext cx="21291055" cy="1159625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57</xdr:row>
      <xdr:rowOff>0</xdr:rowOff>
    </xdr:from>
    <xdr:to>
      <xdr:col>44</xdr:col>
      <xdr:colOff>330770</xdr:colOff>
      <xdr:row>106</xdr:row>
      <xdr:rowOff>49640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610618" y="13425055"/>
          <a:ext cx="6980952" cy="11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12</xdr:col>
      <xdr:colOff>465828</xdr:colOff>
      <xdr:row>210</xdr:row>
      <xdr:rowOff>50002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29177673"/>
          <a:ext cx="7171428" cy="86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162</xdr:row>
      <xdr:rowOff>0</xdr:rowOff>
    </xdr:from>
    <xdr:to>
      <xdr:col>25</xdr:col>
      <xdr:colOff>475276</xdr:colOff>
      <xdr:row>211</xdr:row>
      <xdr:rowOff>165131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00" y="29177673"/>
          <a:ext cx="7790476" cy="899047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162</xdr:row>
      <xdr:rowOff>0</xdr:rowOff>
    </xdr:from>
    <xdr:to>
      <xdr:col>38</xdr:col>
      <xdr:colOff>513371</xdr:colOff>
      <xdr:row>211</xdr:row>
      <xdr:rowOff>31798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849600" y="29177673"/>
          <a:ext cx="7828571" cy="885714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162</xdr:row>
      <xdr:rowOff>0</xdr:rowOff>
    </xdr:from>
    <xdr:to>
      <xdr:col>51</xdr:col>
      <xdr:colOff>532419</xdr:colOff>
      <xdr:row>211</xdr:row>
      <xdr:rowOff>88941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774400" y="29177673"/>
          <a:ext cx="7847619" cy="8914286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162</xdr:row>
      <xdr:rowOff>0</xdr:rowOff>
    </xdr:from>
    <xdr:to>
      <xdr:col>64</xdr:col>
      <xdr:colOff>503848</xdr:colOff>
      <xdr:row>212</xdr:row>
      <xdr:rowOff>80260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699200" y="29177673"/>
          <a:ext cx="7819048" cy="90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169600</xdr:colOff>
      <xdr:row>59</xdr:row>
      <xdr:rowOff>78674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4800000" cy="10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59</xdr:row>
      <xdr:rowOff>152400</xdr:rowOff>
    </xdr:from>
    <xdr:to>
      <xdr:col>25</xdr:col>
      <xdr:colOff>190551</xdr:colOff>
      <xdr:row>107</xdr:row>
      <xdr:rowOff>31303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" y="10942320"/>
          <a:ext cx="14828571" cy="8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25</xdr:col>
      <xdr:colOff>283886</xdr:colOff>
      <xdr:row>166</xdr:row>
      <xdr:rowOff>13935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9933920"/>
          <a:ext cx="14914286" cy="10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99"/>
  <sheetViews>
    <sheetView tabSelected="1" zoomScale="85" zoomScaleNormal="85" workbookViewId="0">
      <selection activeCell="T2" sqref="T2"/>
    </sheetView>
  </sheetViews>
  <sheetFormatPr defaultColWidth="9.09765625" defaultRowHeight="13.2" x14ac:dyDescent="0.25"/>
  <cols>
    <col min="1" max="1" width="2" style="5" customWidth="1"/>
    <col min="2" max="2" width="14.69921875" style="11" customWidth="1"/>
    <col min="3" max="3" width="14.69921875" style="12" customWidth="1"/>
    <col min="4" max="5" width="14.69921875" style="11" customWidth="1"/>
    <col min="6" max="7" width="9.09765625" style="5"/>
    <col min="8" max="8" width="19" style="5" customWidth="1"/>
    <col min="9" max="9" width="12.09765625" style="5" bestFit="1" customWidth="1"/>
    <col min="10" max="18" width="10.59765625" style="5" customWidth="1"/>
    <col min="19" max="19" width="8.59765625" style="5" bestFit="1" customWidth="1"/>
    <col min="20" max="21" width="9.296875" style="5" bestFit="1" customWidth="1"/>
    <col min="22" max="22" width="10.296875" style="5" bestFit="1" customWidth="1"/>
    <col min="23" max="23" width="11.09765625" style="5" bestFit="1" customWidth="1"/>
    <col min="24" max="24" width="11.3984375" style="5" bestFit="1" customWidth="1"/>
    <col min="25" max="26" width="12.296875" style="5" bestFit="1" customWidth="1"/>
    <col min="27" max="27" width="12.69921875" style="5" bestFit="1" customWidth="1"/>
    <col min="28" max="28" width="13.3984375" style="5" bestFit="1" customWidth="1"/>
    <col min="29" max="29" width="14.59765625" style="5" bestFit="1" customWidth="1"/>
    <col min="30" max="16384" width="9.09765625" style="5"/>
  </cols>
  <sheetData>
    <row r="1" spans="2:29" x14ac:dyDescent="0.25">
      <c r="B1" s="5"/>
      <c r="C1" s="5"/>
      <c r="D1" s="5"/>
      <c r="E1" s="5"/>
    </row>
    <row r="2" spans="2:29" ht="25.2" x14ac:dyDescent="0.4">
      <c r="B2" s="43" t="s">
        <v>0</v>
      </c>
      <c r="C2" s="44"/>
      <c r="D2" s="45"/>
      <c r="E2" s="54">
        <v>2</v>
      </c>
      <c r="I2" s="40"/>
      <c r="J2" s="40"/>
      <c r="K2" s="128" t="s">
        <v>47</v>
      </c>
      <c r="L2" s="128"/>
      <c r="M2" s="128" t="s">
        <v>48</v>
      </c>
      <c r="N2" s="128"/>
      <c r="O2" s="128" t="s">
        <v>49</v>
      </c>
      <c r="P2" s="128"/>
      <c r="Q2" s="128"/>
      <c r="R2" s="40"/>
      <c r="S2" s="40"/>
      <c r="T2" s="40"/>
      <c r="U2" s="40"/>
      <c r="V2" s="40"/>
      <c r="W2" s="40"/>
      <c r="X2" s="40"/>
      <c r="Y2" s="40"/>
    </row>
    <row r="3" spans="2:29" ht="16.8" x14ac:dyDescent="0.3">
      <c r="B3" s="43" t="s">
        <v>1</v>
      </c>
      <c r="C3" s="44"/>
      <c r="D3" s="45"/>
      <c r="E3" s="42">
        <f>E2</f>
        <v>2</v>
      </c>
      <c r="H3" s="27"/>
      <c r="I3" s="20"/>
      <c r="J3" s="20"/>
      <c r="K3" s="125">
        <f>SUM('Bảng Input L30'!C13:C37)</f>
        <v>33.76405344570022</v>
      </c>
      <c r="L3" s="125"/>
      <c r="M3" s="126">
        <f>K3*90</f>
        <v>3038.7648101130198</v>
      </c>
      <c r="N3" s="126"/>
      <c r="O3" s="127">
        <f>M3+'Bảng Input L30'!D35</f>
        <v>11772.810214746589</v>
      </c>
      <c r="P3" s="127"/>
      <c r="Q3" s="127"/>
      <c r="R3" s="110">
        <f>O3*2</f>
        <v>23545.620429493178</v>
      </c>
      <c r="S3" s="20"/>
      <c r="T3" s="20"/>
      <c r="U3" s="20"/>
      <c r="V3" s="20"/>
      <c r="W3" s="20"/>
      <c r="X3" s="20"/>
      <c r="Y3" s="20"/>
    </row>
    <row r="4" spans="2:29" ht="18.600000000000001" x14ac:dyDescent="0.3">
      <c r="B4" s="43" t="s">
        <v>2</v>
      </c>
      <c r="C4" s="44"/>
      <c r="D4" s="45"/>
      <c r="E4" s="42">
        <f>E3</f>
        <v>2</v>
      </c>
      <c r="H4" s="28" t="s">
        <v>12</v>
      </c>
      <c r="I4" s="52">
        <f>E9</f>
        <v>1.3819999999999999</v>
      </c>
      <c r="J4" s="1">
        <v>1.3819999999999999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9" ht="18.600000000000001" x14ac:dyDescent="0.3">
      <c r="B5" s="43" t="s">
        <v>3</v>
      </c>
      <c r="C5" s="44"/>
      <c r="D5" s="45"/>
      <c r="E5" s="42">
        <f>E4</f>
        <v>2</v>
      </c>
      <c r="H5" s="28" t="s">
        <v>53</v>
      </c>
      <c r="I5" s="109">
        <v>4</v>
      </c>
      <c r="J5" s="2">
        <v>1.6180000000000001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9" ht="18.600000000000001" x14ac:dyDescent="0.3">
      <c r="B6" s="43" t="s">
        <v>4</v>
      </c>
      <c r="C6" s="44"/>
      <c r="D6" s="45"/>
      <c r="E6" s="42">
        <f>E5</f>
        <v>2</v>
      </c>
      <c r="H6" s="28" t="s">
        <v>71</v>
      </c>
      <c r="I6" s="109">
        <f>I5*3</f>
        <v>12</v>
      </c>
      <c r="J6" s="2">
        <v>2.6179999999999999</v>
      </c>
      <c r="O6" s="2"/>
    </row>
    <row r="7" spans="2:29" ht="16.8" x14ac:dyDescent="0.3">
      <c r="B7" s="43" t="s">
        <v>5</v>
      </c>
      <c r="C7" s="44"/>
      <c r="D7" s="45"/>
      <c r="E7" s="42">
        <f>E6</f>
        <v>2</v>
      </c>
      <c r="H7" s="1"/>
      <c r="I7" s="1"/>
      <c r="J7" s="38">
        <v>2200</v>
      </c>
      <c r="K7" s="38">
        <f>J7-I$5</f>
        <v>2196</v>
      </c>
      <c r="L7" s="38">
        <f t="shared" ref="L7:Y7" si="0">K7-$I$5</f>
        <v>2192</v>
      </c>
      <c r="M7" s="38">
        <f t="shared" si="0"/>
        <v>2188</v>
      </c>
      <c r="N7" s="38">
        <f t="shared" si="0"/>
        <v>2184</v>
      </c>
      <c r="O7" s="38">
        <f t="shared" si="0"/>
        <v>2180</v>
      </c>
      <c r="P7" s="38">
        <f t="shared" si="0"/>
        <v>2176</v>
      </c>
      <c r="Q7" s="38">
        <f t="shared" si="0"/>
        <v>2172</v>
      </c>
      <c r="R7" s="38">
        <f t="shared" si="0"/>
        <v>2168</v>
      </c>
      <c r="S7" s="38">
        <f t="shared" si="0"/>
        <v>2164</v>
      </c>
      <c r="T7" s="38">
        <f t="shared" si="0"/>
        <v>2160</v>
      </c>
      <c r="U7" s="38">
        <f t="shared" si="0"/>
        <v>2156</v>
      </c>
      <c r="V7" s="38">
        <f t="shared" si="0"/>
        <v>2152</v>
      </c>
      <c r="W7" s="38">
        <f t="shared" si="0"/>
        <v>2148</v>
      </c>
      <c r="X7" s="38">
        <f t="shared" si="0"/>
        <v>2144</v>
      </c>
      <c r="Y7" s="38">
        <f t="shared" si="0"/>
        <v>2140</v>
      </c>
      <c r="Z7" s="38">
        <f t="shared" ref="Z7" si="1">Y7-$I$5</f>
        <v>2136</v>
      </c>
      <c r="AA7" s="38">
        <f t="shared" ref="AA7" si="2">Z7-$I$5</f>
        <v>2132</v>
      </c>
      <c r="AB7" s="38">
        <f t="shared" ref="AB7" si="3">AA7-$I$5</f>
        <v>2128</v>
      </c>
      <c r="AC7" s="38">
        <f t="shared" ref="AC7" si="4">AB7-$I$5</f>
        <v>2124</v>
      </c>
    </row>
    <row r="8" spans="2:29" ht="16.8" x14ac:dyDescent="0.3">
      <c r="B8" s="43" t="s">
        <v>72</v>
      </c>
      <c r="C8" s="44"/>
      <c r="D8" s="45"/>
      <c r="E8" s="112">
        <v>0.01</v>
      </c>
      <c r="H8" s="1"/>
      <c r="I8" s="1"/>
      <c r="J8" s="38">
        <v>0</v>
      </c>
      <c r="K8" s="38">
        <f t="shared" ref="K8:Y8" si="5">$J$7-K7</f>
        <v>4</v>
      </c>
      <c r="L8" s="38">
        <f t="shared" si="5"/>
        <v>8</v>
      </c>
      <c r="M8" s="38">
        <f t="shared" si="5"/>
        <v>12</v>
      </c>
      <c r="N8" s="38">
        <f t="shared" si="5"/>
        <v>16</v>
      </c>
      <c r="O8" s="38">
        <f t="shared" si="5"/>
        <v>20</v>
      </c>
      <c r="P8" s="38">
        <f t="shared" si="5"/>
        <v>24</v>
      </c>
      <c r="Q8" s="38">
        <f t="shared" si="5"/>
        <v>28</v>
      </c>
      <c r="R8" s="38">
        <f t="shared" si="5"/>
        <v>32</v>
      </c>
      <c r="S8" s="38">
        <f t="shared" si="5"/>
        <v>36</v>
      </c>
      <c r="T8" s="38">
        <f t="shared" si="5"/>
        <v>40</v>
      </c>
      <c r="U8" s="38">
        <f t="shared" si="5"/>
        <v>44</v>
      </c>
      <c r="V8" s="38">
        <f t="shared" si="5"/>
        <v>48</v>
      </c>
      <c r="W8" s="38">
        <f t="shared" si="5"/>
        <v>52</v>
      </c>
      <c r="X8" s="38">
        <f t="shared" si="5"/>
        <v>56</v>
      </c>
      <c r="Y8" s="38">
        <f t="shared" si="5"/>
        <v>60</v>
      </c>
      <c r="Z8" s="38">
        <f t="shared" ref="Z8:AC8" si="6">$J$7-Z7</f>
        <v>64</v>
      </c>
      <c r="AA8" s="38">
        <f t="shared" si="6"/>
        <v>68</v>
      </c>
      <c r="AB8" s="38">
        <f t="shared" si="6"/>
        <v>72</v>
      </c>
      <c r="AC8" s="38">
        <f t="shared" si="6"/>
        <v>76</v>
      </c>
    </row>
    <row r="9" spans="2:29" ht="16.8" x14ac:dyDescent="0.3">
      <c r="B9" s="43" t="s">
        <v>6</v>
      </c>
      <c r="C9" s="44"/>
      <c r="D9" s="45"/>
      <c r="E9" s="111">
        <v>1.3819999999999999</v>
      </c>
      <c r="H9" s="29" t="s">
        <v>14</v>
      </c>
      <c r="I9" s="29" t="s">
        <v>52</v>
      </c>
      <c r="J9" s="29" t="s">
        <v>15</v>
      </c>
      <c r="K9" s="29" t="s">
        <v>16</v>
      </c>
      <c r="L9" s="29" t="s">
        <v>17</v>
      </c>
      <c r="M9" s="29" t="s">
        <v>18</v>
      </c>
      <c r="N9" s="29" t="s">
        <v>19</v>
      </c>
      <c r="O9" s="29" t="s">
        <v>20</v>
      </c>
      <c r="P9" s="29" t="s">
        <v>21</v>
      </c>
      <c r="Q9" s="29" t="s">
        <v>22</v>
      </c>
      <c r="R9" s="29" t="s">
        <v>23</v>
      </c>
      <c r="S9" s="29" t="s">
        <v>24</v>
      </c>
      <c r="T9" s="29" t="s">
        <v>25</v>
      </c>
      <c r="U9" s="29" t="s">
        <v>26</v>
      </c>
      <c r="V9" s="29" t="s">
        <v>27</v>
      </c>
      <c r="W9" s="29" t="s">
        <v>28</v>
      </c>
      <c r="X9" s="29" t="s">
        <v>29</v>
      </c>
      <c r="Y9" s="29" t="s">
        <v>30</v>
      </c>
      <c r="Z9" s="29" t="s">
        <v>74</v>
      </c>
      <c r="AA9" s="29" t="s">
        <v>75</v>
      </c>
      <c r="AB9" s="29" t="s">
        <v>76</v>
      </c>
      <c r="AC9" s="29" t="s">
        <v>77</v>
      </c>
    </row>
    <row r="10" spans="2:29" ht="18.600000000000001" x14ac:dyDescent="0.3">
      <c r="B10" s="43" t="s">
        <v>73</v>
      </c>
      <c r="C10" s="44"/>
      <c r="D10" s="45"/>
      <c r="E10" s="55">
        <v>20</v>
      </c>
      <c r="H10" s="33" t="s">
        <v>51</v>
      </c>
      <c r="I10" s="53"/>
      <c r="J10" s="29">
        <v>1</v>
      </c>
      <c r="K10" s="29">
        <v>2</v>
      </c>
      <c r="L10" s="29">
        <v>3</v>
      </c>
      <c r="M10" s="29">
        <v>4</v>
      </c>
      <c r="N10" s="29">
        <v>5</v>
      </c>
      <c r="O10" s="29">
        <v>6</v>
      </c>
      <c r="P10" s="29">
        <v>7</v>
      </c>
      <c r="Q10" s="29">
        <v>8</v>
      </c>
      <c r="R10" s="29">
        <v>9</v>
      </c>
      <c r="S10" s="29">
        <v>10</v>
      </c>
      <c r="T10" s="29">
        <v>11</v>
      </c>
      <c r="U10" s="29">
        <v>12</v>
      </c>
      <c r="V10" s="29">
        <v>13</v>
      </c>
      <c r="W10" s="29">
        <v>14</v>
      </c>
      <c r="X10" s="29">
        <v>15</v>
      </c>
      <c r="Y10" s="29">
        <v>16</v>
      </c>
      <c r="Z10" s="29">
        <v>17</v>
      </c>
      <c r="AA10" s="29">
        <v>18</v>
      </c>
      <c r="AB10" s="29">
        <v>19</v>
      </c>
      <c r="AC10" s="29">
        <v>20</v>
      </c>
    </row>
    <row r="11" spans="2:29" ht="17.399999999999999" thickBot="1" x14ac:dyDescent="0.35">
      <c r="B11" s="6"/>
      <c r="C11" s="7"/>
      <c r="D11" s="6"/>
      <c r="E11" s="6"/>
      <c r="H11" s="34">
        <v>1</v>
      </c>
      <c r="I11" s="35">
        <f>'Bảng Input L30'!C13</f>
        <v>0.01</v>
      </c>
      <c r="J11" s="31">
        <f>I11*I6*100</f>
        <v>12</v>
      </c>
      <c r="K11" s="31">
        <f>I11*100*(I6-I5)</f>
        <v>8</v>
      </c>
      <c r="L11" s="31">
        <f t="shared" ref="L11:AC11" si="7">$I$11*100*($I$6-$I$5*K10)</f>
        <v>4</v>
      </c>
      <c r="M11" s="31">
        <f t="shared" si="7"/>
        <v>0</v>
      </c>
      <c r="N11" s="31">
        <f>$I$11*100*($I$6-$I$5*M10)</f>
        <v>-4</v>
      </c>
      <c r="O11" s="31">
        <f t="shared" si="7"/>
        <v>-8</v>
      </c>
      <c r="P11" s="31">
        <f t="shared" si="7"/>
        <v>-12</v>
      </c>
      <c r="Q11" s="31">
        <f t="shared" si="7"/>
        <v>-16</v>
      </c>
      <c r="R11" s="31">
        <f t="shared" si="7"/>
        <v>-20</v>
      </c>
      <c r="S11" s="31">
        <f t="shared" si="7"/>
        <v>-24</v>
      </c>
      <c r="T11" s="31">
        <f t="shared" si="7"/>
        <v>-28</v>
      </c>
      <c r="U11" s="31">
        <f t="shared" si="7"/>
        <v>-32</v>
      </c>
      <c r="V11" s="31">
        <f t="shared" si="7"/>
        <v>-36</v>
      </c>
      <c r="W11" s="31">
        <f t="shared" si="7"/>
        <v>-40</v>
      </c>
      <c r="X11" s="31">
        <f t="shared" si="7"/>
        <v>-44</v>
      </c>
      <c r="Y11" s="31">
        <f t="shared" si="7"/>
        <v>-48</v>
      </c>
      <c r="Z11" s="31">
        <f t="shared" si="7"/>
        <v>-52</v>
      </c>
      <c r="AA11" s="31">
        <f t="shared" si="7"/>
        <v>-56</v>
      </c>
      <c r="AB11" s="31">
        <f t="shared" si="7"/>
        <v>-60</v>
      </c>
      <c r="AC11" s="31">
        <f t="shared" si="7"/>
        <v>-64</v>
      </c>
    </row>
    <row r="12" spans="2:29" ht="18" thickTop="1" thickBot="1" x14ac:dyDescent="0.3">
      <c r="B12" s="21" t="s">
        <v>7</v>
      </c>
      <c r="C12" s="22" t="s">
        <v>8</v>
      </c>
      <c r="D12" s="23" t="s">
        <v>9</v>
      </c>
      <c r="E12" s="23" t="s">
        <v>10</v>
      </c>
      <c r="H12" s="34">
        <v>2</v>
      </c>
      <c r="I12" s="30">
        <f t="shared" ref="I12:I30" si="8">I11*$I$4</f>
        <v>1.3819999999999999E-2</v>
      </c>
      <c r="J12" s="3"/>
      <c r="K12" s="31">
        <f>I12*100*I6</f>
        <v>16.584</v>
      </c>
      <c r="L12" s="31">
        <f>I12*100*(I6-I5)</f>
        <v>11.055999999999999</v>
      </c>
      <c r="M12" s="31">
        <f t="shared" ref="M12:AC12" si="9">$I$12*100*($I$6-$I$5*K10)</f>
        <v>5.5279999999999996</v>
      </c>
      <c r="N12" s="31">
        <f t="shared" si="9"/>
        <v>0</v>
      </c>
      <c r="O12" s="31">
        <f t="shared" si="9"/>
        <v>-5.5279999999999996</v>
      </c>
      <c r="P12" s="31">
        <f t="shared" si="9"/>
        <v>-11.055999999999999</v>
      </c>
      <c r="Q12" s="31">
        <f t="shared" si="9"/>
        <v>-16.584</v>
      </c>
      <c r="R12" s="31">
        <f t="shared" si="9"/>
        <v>-22.111999999999998</v>
      </c>
      <c r="S12" s="31">
        <f t="shared" si="9"/>
        <v>-27.639999999999997</v>
      </c>
      <c r="T12" s="31">
        <f t="shared" si="9"/>
        <v>-33.167999999999999</v>
      </c>
      <c r="U12" s="31">
        <f t="shared" si="9"/>
        <v>-38.695999999999998</v>
      </c>
      <c r="V12" s="31">
        <f t="shared" si="9"/>
        <v>-44.223999999999997</v>
      </c>
      <c r="W12" s="31">
        <f t="shared" si="9"/>
        <v>-49.751999999999995</v>
      </c>
      <c r="X12" s="31">
        <f t="shared" si="9"/>
        <v>-55.279999999999994</v>
      </c>
      <c r="Y12" s="31">
        <f t="shared" si="9"/>
        <v>-60.807999999999993</v>
      </c>
      <c r="Z12" s="31">
        <f t="shared" si="9"/>
        <v>-66.335999999999999</v>
      </c>
      <c r="AA12" s="31">
        <f t="shared" si="9"/>
        <v>-71.86399999999999</v>
      </c>
      <c r="AB12" s="31">
        <f t="shared" si="9"/>
        <v>-77.391999999999996</v>
      </c>
      <c r="AC12" s="31">
        <f t="shared" si="9"/>
        <v>-82.919999999999987</v>
      </c>
    </row>
    <row r="13" spans="2:29" ht="17.399999999999999" thickTop="1" x14ac:dyDescent="0.3">
      <c r="B13" s="24" t="str">
        <f>IF($E$10&gt;0,"L1",0)</f>
        <v>L1</v>
      </c>
      <c r="C13" s="8">
        <f>+E8</f>
        <v>0.01</v>
      </c>
      <c r="D13" s="9">
        <f>+C13*E13*100</f>
        <v>38</v>
      </c>
      <c r="E13" s="9">
        <f>IF(B13=0,0,$E$2+$E$3+$E$4+$E$5+$E$6+($E$7*($E$10-6)))</f>
        <v>38</v>
      </c>
      <c r="H13" s="34">
        <v>3</v>
      </c>
      <c r="I13" s="30">
        <f t="shared" si="8"/>
        <v>1.9099239999999996E-2</v>
      </c>
      <c r="J13" s="3"/>
      <c r="K13" s="3"/>
      <c r="L13" s="31">
        <f>I13*100*I6</f>
        <v>22.919087999999995</v>
      </c>
      <c r="M13" s="31">
        <f>I13*100*(I6-I5)</f>
        <v>15.279391999999998</v>
      </c>
      <c r="N13" s="31">
        <f t="shared" ref="N13:AC13" si="10">$I$13*100*($I$6-$I$5*K10)</f>
        <v>7.6396959999999989</v>
      </c>
      <c r="O13" s="31">
        <f t="shared" si="10"/>
        <v>0</v>
      </c>
      <c r="P13" s="31">
        <f t="shared" si="10"/>
        <v>-7.6396959999999989</v>
      </c>
      <c r="Q13" s="31">
        <f t="shared" si="10"/>
        <v>-15.279391999999998</v>
      </c>
      <c r="R13" s="31">
        <f t="shared" si="10"/>
        <v>-22.919087999999995</v>
      </c>
      <c r="S13" s="31">
        <f t="shared" si="10"/>
        <v>-30.558783999999996</v>
      </c>
      <c r="T13" s="31">
        <f t="shared" si="10"/>
        <v>-38.198479999999996</v>
      </c>
      <c r="U13" s="31">
        <f t="shared" si="10"/>
        <v>-45.83817599999999</v>
      </c>
      <c r="V13" s="31">
        <f t="shared" si="10"/>
        <v>-53.477871999999991</v>
      </c>
      <c r="W13" s="31">
        <f t="shared" si="10"/>
        <v>-61.117567999999991</v>
      </c>
      <c r="X13" s="31">
        <f t="shared" si="10"/>
        <v>-68.757263999999992</v>
      </c>
      <c r="Y13" s="31">
        <f t="shared" si="10"/>
        <v>-76.396959999999993</v>
      </c>
      <c r="Z13" s="31">
        <f t="shared" si="10"/>
        <v>-84.036655999999994</v>
      </c>
      <c r="AA13" s="31">
        <f t="shared" si="10"/>
        <v>-91.67635199999998</v>
      </c>
      <c r="AB13" s="31">
        <f t="shared" si="10"/>
        <v>-99.316047999999981</v>
      </c>
      <c r="AC13" s="31">
        <f t="shared" si="10"/>
        <v>-106.95574399999998</v>
      </c>
    </row>
    <row r="14" spans="2:29" ht="16.8" x14ac:dyDescent="0.3">
      <c r="B14" s="24" t="str">
        <f t="shared" ref="B14:B34" si="11">IF(B13=0,0,IF(VALUE(MID(B13,2,2))&gt;=$E$10,0,"L"&amp;VALUE(MID(B13,2,2))+1))</f>
        <v>L2</v>
      </c>
      <c r="C14" s="10">
        <f t="shared" ref="C14:C34" si="12">IF(B14&lt;&gt;0,C13*$E$9,0)</f>
        <v>1.3819999999999999E-2</v>
      </c>
      <c r="D14" s="9">
        <f t="shared" ref="D14:D34" si="13">+C14*E14*100</f>
        <v>49.751999999999995</v>
      </c>
      <c r="E14" s="9">
        <f>IF(B14=0,0,$E$3+$E$4+$E$5+$E$6+($E$7*($E$10-6)))</f>
        <v>36</v>
      </c>
      <c r="H14" s="34">
        <v>4</v>
      </c>
      <c r="I14" s="30">
        <f t="shared" si="8"/>
        <v>2.6395149679999994E-2</v>
      </c>
      <c r="J14" s="3"/>
      <c r="K14" s="3"/>
      <c r="L14" s="3"/>
      <c r="M14" s="31">
        <f>I14*100*I6</f>
        <v>31.674179615999993</v>
      </c>
      <c r="N14" s="31">
        <f>I14*100*(I6-I5)</f>
        <v>21.116119743999995</v>
      </c>
      <c r="O14" s="31">
        <f t="shared" ref="O14:AC14" si="14">$I$14*100*($I$6-$I$5*K10)</f>
        <v>10.558059871999998</v>
      </c>
      <c r="P14" s="31">
        <f t="shared" si="14"/>
        <v>0</v>
      </c>
      <c r="Q14" s="31">
        <f t="shared" si="14"/>
        <v>-10.558059871999998</v>
      </c>
      <c r="R14" s="31">
        <f t="shared" si="14"/>
        <v>-21.116119743999995</v>
      </c>
      <c r="S14" s="31">
        <f t="shared" si="14"/>
        <v>-31.674179615999993</v>
      </c>
      <c r="T14" s="31">
        <f t="shared" si="14"/>
        <v>-42.232239487999991</v>
      </c>
      <c r="U14" s="31">
        <f t="shared" si="14"/>
        <v>-52.790299359999992</v>
      </c>
      <c r="V14" s="31">
        <f t="shared" si="14"/>
        <v>-63.348359231999986</v>
      </c>
      <c r="W14" s="31">
        <f t="shared" si="14"/>
        <v>-73.90641910399998</v>
      </c>
      <c r="X14" s="31">
        <f t="shared" si="14"/>
        <v>-84.464478975999981</v>
      </c>
      <c r="Y14" s="31">
        <f t="shared" si="14"/>
        <v>-95.022538847999982</v>
      </c>
      <c r="Z14" s="31">
        <f t="shared" si="14"/>
        <v>-105.58059871999998</v>
      </c>
      <c r="AA14" s="31">
        <f t="shared" si="14"/>
        <v>-116.13865859199997</v>
      </c>
      <c r="AB14" s="31">
        <f t="shared" si="14"/>
        <v>-126.69671846399997</v>
      </c>
      <c r="AC14" s="31">
        <f t="shared" si="14"/>
        <v>-137.25477833599996</v>
      </c>
    </row>
    <row r="15" spans="2:29" ht="16.8" x14ac:dyDescent="0.3">
      <c r="B15" s="24" t="str">
        <f t="shared" si="11"/>
        <v>L3</v>
      </c>
      <c r="C15" s="10">
        <f t="shared" si="12"/>
        <v>1.9099239999999996E-2</v>
      </c>
      <c r="D15" s="9">
        <f t="shared" si="13"/>
        <v>64.937415999999999</v>
      </c>
      <c r="E15" s="9">
        <f>IF(B15=0,0,$E$4+$E$5+$E$6+($E$7*($E$10-6)))</f>
        <v>34</v>
      </c>
      <c r="H15" s="34">
        <v>5</v>
      </c>
      <c r="I15" s="30">
        <f t="shared" si="8"/>
        <v>3.647809685775999E-2</v>
      </c>
      <c r="J15" s="4"/>
      <c r="K15" s="3"/>
      <c r="L15" s="3"/>
      <c r="M15" s="3"/>
      <c r="N15" s="31">
        <f>I15*I6*100</f>
        <v>43.773716229311987</v>
      </c>
      <c r="O15" s="31">
        <f>I15*100*(I6-I5)</f>
        <v>29.182477486207993</v>
      </c>
      <c r="P15" s="31">
        <f t="shared" ref="P15:AC15" si="15">$I$15*100*($I$6-$I$5*K10)</f>
        <v>14.591238743103997</v>
      </c>
      <c r="Q15" s="31">
        <f t="shared" si="15"/>
        <v>0</v>
      </c>
      <c r="R15" s="31">
        <f t="shared" si="15"/>
        <v>-14.591238743103997</v>
      </c>
      <c r="S15" s="31">
        <f t="shared" si="15"/>
        <v>-29.182477486207993</v>
      </c>
      <c r="T15" s="31">
        <f t="shared" si="15"/>
        <v>-43.773716229311987</v>
      </c>
      <c r="U15" s="31">
        <f t="shared" si="15"/>
        <v>-58.364954972415987</v>
      </c>
      <c r="V15" s="31">
        <f t="shared" si="15"/>
        <v>-72.956193715519987</v>
      </c>
      <c r="W15" s="31">
        <f t="shared" si="15"/>
        <v>-87.547432458623973</v>
      </c>
      <c r="X15" s="31">
        <f t="shared" si="15"/>
        <v>-102.13867120172797</v>
      </c>
      <c r="Y15" s="31">
        <f t="shared" si="15"/>
        <v>-116.72990994483197</v>
      </c>
      <c r="Z15" s="31">
        <f t="shared" si="15"/>
        <v>-131.32114868793596</v>
      </c>
      <c r="AA15" s="31">
        <f t="shared" si="15"/>
        <v>-145.91238743103997</v>
      </c>
      <c r="AB15" s="31">
        <f t="shared" si="15"/>
        <v>-160.50362617414396</v>
      </c>
      <c r="AC15" s="31">
        <f t="shared" si="15"/>
        <v>-175.09486491724795</v>
      </c>
    </row>
    <row r="16" spans="2:29" ht="16.8" x14ac:dyDescent="0.3">
      <c r="B16" s="24" t="str">
        <f t="shared" si="11"/>
        <v>L4</v>
      </c>
      <c r="C16" s="10">
        <f t="shared" si="12"/>
        <v>2.6395149679999994E-2</v>
      </c>
      <c r="D16" s="9">
        <f t="shared" si="13"/>
        <v>84.464478975999981</v>
      </c>
      <c r="E16" s="9">
        <f>IF(B16=0,0,$E$5+$E$6+($E$7*($E$10-6)))</f>
        <v>32</v>
      </c>
      <c r="H16" s="34">
        <v>6</v>
      </c>
      <c r="I16" s="30">
        <f t="shared" si="8"/>
        <v>5.0412729857424302E-2</v>
      </c>
      <c r="J16" s="3"/>
      <c r="K16" s="3"/>
      <c r="L16" s="3"/>
      <c r="M16" s="3"/>
      <c r="N16" s="3"/>
      <c r="O16" s="31">
        <f>I16*I6*100</f>
        <v>60.495275828909165</v>
      </c>
      <c r="P16" s="31">
        <f>I16*100*(I6-I5)</f>
        <v>40.330183885939441</v>
      </c>
      <c r="Q16" s="31">
        <f t="shared" ref="Q16:Y16" si="16">$I$16*100*($I$6-$I$5*K10)</f>
        <v>20.16509194296972</v>
      </c>
      <c r="R16" s="31">
        <f t="shared" si="16"/>
        <v>0</v>
      </c>
      <c r="S16" s="31">
        <f t="shared" si="16"/>
        <v>-20.16509194296972</v>
      </c>
      <c r="T16" s="31">
        <f t="shared" si="16"/>
        <v>-40.330183885939441</v>
      </c>
      <c r="U16" s="31">
        <f t="shared" si="16"/>
        <v>-60.495275828909158</v>
      </c>
      <c r="V16" s="31">
        <f t="shared" si="16"/>
        <v>-80.660367771878882</v>
      </c>
      <c r="W16" s="31">
        <f t="shared" si="16"/>
        <v>-100.82545971484861</v>
      </c>
      <c r="X16" s="31">
        <f t="shared" si="16"/>
        <v>-120.99055165781832</v>
      </c>
      <c r="Y16" s="31">
        <f t="shared" si="16"/>
        <v>-141.15564360078804</v>
      </c>
      <c r="Z16" s="31">
        <f t="shared" ref="Z16" si="17">$I$16*100*($I$6-$I$5*T10)</f>
        <v>-161.32073554375776</v>
      </c>
      <c r="AA16" s="31">
        <f t="shared" ref="AA16" si="18">$I$16*100*($I$6-$I$5*U10)</f>
        <v>-181.48582748672749</v>
      </c>
      <c r="AB16" s="31">
        <f t="shared" ref="AB16" si="19">$I$16*100*($I$6-$I$5*V10)</f>
        <v>-201.65091942969721</v>
      </c>
      <c r="AC16" s="31">
        <f t="shared" ref="AC16" si="20">$I$16*100*($I$6-$I$5*W10)</f>
        <v>-221.81601137266694</v>
      </c>
    </row>
    <row r="17" spans="2:29" ht="16.8" x14ac:dyDescent="0.3">
      <c r="B17" s="24" t="str">
        <f t="shared" si="11"/>
        <v>L5</v>
      </c>
      <c r="C17" s="10">
        <f t="shared" si="12"/>
        <v>3.647809685775999E-2</v>
      </c>
      <c r="D17" s="9">
        <f t="shared" si="13"/>
        <v>109.43429057327995</v>
      </c>
      <c r="E17" s="9">
        <f>IF(B17=0,0,$E$6+($E$7*($E$10-6)))</f>
        <v>30</v>
      </c>
      <c r="H17" s="34">
        <v>7</v>
      </c>
      <c r="I17" s="30">
        <f t="shared" si="8"/>
        <v>6.9670392662960379E-2</v>
      </c>
      <c r="J17" s="3"/>
      <c r="K17" s="3"/>
      <c r="L17" s="3"/>
      <c r="M17" s="3"/>
      <c r="N17" s="3"/>
      <c r="O17" s="3"/>
      <c r="P17" s="31">
        <f>I6*I17*100</f>
        <v>83.604471195552449</v>
      </c>
      <c r="Q17" s="31">
        <f>I17*100*(I6-I5)</f>
        <v>55.736314130368299</v>
      </c>
      <c r="R17" s="31">
        <f t="shared" ref="R17:Y17" si="21">$I$17*100*($I$6-$I$5*K10)</f>
        <v>27.86815706518415</v>
      </c>
      <c r="S17" s="31">
        <f t="shared" si="21"/>
        <v>0</v>
      </c>
      <c r="T17" s="31">
        <f t="shared" si="21"/>
        <v>-27.86815706518415</v>
      </c>
      <c r="U17" s="31">
        <f t="shared" si="21"/>
        <v>-55.736314130368299</v>
      </c>
      <c r="V17" s="31">
        <f t="shared" si="21"/>
        <v>-83.604471195552449</v>
      </c>
      <c r="W17" s="31">
        <f t="shared" si="21"/>
        <v>-111.4726282607366</v>
      </c>
      <c r="X17" s="31">
        <f t="shared" si="21"/>
        <v>-139.34078532592076</v>
      </c>
      <c r="Y17" s="31">
        <f t="shared" si="21"/>
        <v>-167.2089423911049</v>
      </c>
      <c r="Z17" s="31">
        <f t="shared" ref="Z17" si="22">$I$17*100*($I$6-$I$5*S10)</f>
        <v>-195.07709945628903</v>
      </c>
      <c r="AA17" s="31">
        <f t="shared" ref="AA17" si="23">$I$17*100*($I$6-$I$5*T10)</f>
        <v>-222.9452565214732</v>
      </c>
      <c r="AB17" s="31">
        <f t="shared" ref="AB17" si="24">$I$17*100*($I$6-$I$5*U10)</f>
        <v>-250.81341358665736</v>
      </c>
      <c r="AC17" s="31">
        <f t="shared" ref="AC17" si="25">$I$17*100*($I$6-$I$5*V10)</f>
        <v>-278.68157065184153</v>
      </c>
    </row>
    <row r="18" spans="2:29" ht="16.8" x14ac:dyDescent="0.3">
      <c r="B18" s="24" t="str">
        <f t="shared" si="11"/>
        <v>L6</v>
      </c>
      <c r="C18" s="10">
        <f t="shared" si="12"/>
        <v>5.0412729857424302E-2</v>
      </c>
      <c r="D18" s="9">
        <f t="shared" si="13"/>
        <v>141.15564360078804</v>
      </c>
      <c r="E18" s="9">
        <f>IF(B18=0,0,($E$7*($E$10-6)))</f>
        <v>28</v>
      </c>
      <c r="H18" s="34">
        <v>8</v>
      </c>
      <c r="I18" s="30">
        <f t="shared" si="8"/>
        <v>9.6284482660211237E-2</v>
      </c>
      <c r="J18" s="3"/>
      <c r="K18" s="3"/>
      <c r="L18" s="3"/>
      <c r="M18" s="3"/>
      <c r="N18" s="3"/>
      <c r="O18" s="3"/>
      <c r="P18" s="3"/>
      <c r="Q18" s="31">
        <f>I6*I18*100</f>
        <v>115.54137919225349</v>
      </c>
      <c r="R18" s="31">
        <f>I18*100*(I6-I5)</f>
        <v>77.027586128168991</v>
      </c>
      <c r="S18" s="31">
        <f t="shared" ref="S18:Y18" si="26">$I$18*100*($I$6-$I$5*K10)</f>
        <v>38.513793064084496</v>
      </c>
      <c r="T18" s="31">
        <f t="shared" si="26"/>
        <v>0</v>
      </c>
      <c r="U18" s="31">
        <f t="shared" si="26"/>
        <v>-38.513793064084496</v>
      </c>
      <c r="V18" s="31">
        <f t="shared" si="26"/>
        <v>-77.027586128168991</v>
      </c>
      <c r="W18" s="31">
        <f t="shared" si="26"/>
        <v>-115.54137919225349</v>
      </c>
      <c r="X18" s="31">
        <f t="shared" si="26"/>
        <v>-154.05517225633798</v>
      </c>
      <c r="Y18" s="31">
        <f t="shared" si="26"/>
        <v>-192.56896532042248</v>
      </c>
      <c r="Z18" s="31">
        <f t="shared" ref="Z18" si="27">$I$18*100*($I$6-$I$5*R10)</f>
        <v>-231.08275838450697</v>
      </c>
      <c r="AA18" s="31">
        <f t="shared" ref="AA18" si="28">$I$18*100*($I$6-$I$5*S10)</f>
        <v>-269.59655144859147</v>
      </c>
      <c r="AB18" s="31">
        <f t="shared" ref="AB18" si="29">$I$18*100*($I$6-$I$5*T10)</f>
        <v>-308.11034451267597</v>
      </c>
      <c r="AC18" s="31">
        <f t="shared" ref="AC18" si="30">$I$18*100*($I$6-$I$5*U10)</f>
        <v>-346.62413757676046</v>
      </c>
    </row>
    <row r="19" spans="2:29" ht="16.8" x14ac:dyDescent="0.3">
      <c r="B19" s="24" t="str">
        <f t="shared" si="11"/>
        <v>L7</v>
      </c>
      <c r="C19" s="10">
        <f t="shared" si="12"/>
        <v>6.9670392662960379E-2</v>
      </c>
      <c r="D19" s="9">
        <f t="shared" si="13"/>
        <v>181.14302092369698</v>
      </c>
      <c r="E19" s="9">
        <f>IF(B19=0,0,($E$7*($E$10-7)))</f>
        <v>26</v>
      </c>
      <c r="H19" s="34">
        <v>9</v>
      </c>
      <c r="I19" s="30">
        <f t="shared" si="8"/>
        <v>0.13306515503641192</v>
      </c>
      <c r="J19" s="3"/>
      <c r="K19" s="3"/>
      <c r="L19" s="3"/>
      <c r="M19" s="3"/>
      <c r="N19" s="3"/>
      <c r="O19" s="3"/>
      <c r="P19" s="3"/>
      <c r="Q19" s="3"/>
      <c r="R19" s="31">
        <f>I6*I19*100</f>
        <v>159.6781860436943</v>
      </c>
      <c r="S19" s="31">
        <f>I19*100*(I6-I5)</f>
        <v>106.45212402912954</v>
      </c>
      <c r="T19" s="31">
        <f t="shared" ref="T19:Y19" si="31">$I$19*100*($I$6-$I$5*K10)</f>
        <v>53.226062014564768</v>
      </c>
      <c r="U19" s="31">
        <f t="shared" si="31"/>
        <v>0</v>
      </c>
      <c r="V19" s="31">
        <f t="shared" si="31"/>
        <v>-53.226062014564768</v>
      </c>
      <c r="W19" s="31">
        <f t="shared" si="31"/>
        <v>-106.45212402912954</v>
      </c>
      <c r="X19" s="31">
        <f t="shared" si="31"/>
        <v>-159.6781860436943</v>
      </c>
      <c r="Y19" s="31">
        <f t="shared" si="31"/>
        <v>-212.90424805825907</v>
      </c>
      <c r="Z19" s="31">
        <f t="shared" ref="Z19" si="32">$I$19*100*($I$6-$I$5*Q10)</f>
        <v>-266.13031007282382</v>
      </c>
      <c r="AA19" s="31">
        <f t="shared" ref="AA19" si="33">$I$19*100*($I$6-$I$5*R10)</f>
        <v>-319.35637208738859</v>
      </c>
      <c r="AB19" s="31">
        <f t="shared" ref="AB19" si="34">$I$19*100*($I$6-$I$5*S10)</f>
        <v>-372.58243410195337</v>
      </c>
      <c r="AC19" s="31">
        <f t="shared" ref="AC19" si="35">$I$19*100*($I$6-$I$5*T10)</f>
        <v>-425.80849611651814</v>
      </c>
    </row>
    <row r="20" spans="2:29" ht="16.8" x14ac:dyDescent="0.3">
      <c r="B20" s="24" t="str">
        <f t="shared" si="11"/>
        <v>L8</v>
      </c>
      <c r="C20" s="10">
        <f t="shared" si="12"/>
        <v>9.6284482660211237E-2</v>
      </c>
      <c r="D20" s="9">
        <f t="shared" si="13"/>
        <v>231.08275838450697</v>
      </c>
      <c r="E20" s="9">
        <f>IF(B20=0,0,($E$7*($E$10-8)))</f>
        <v>24</v>
      </c>
      <c r="H20" s="34">
        <v>10</v>
      </c>
      <c r="I20" s="30">
        <f t="shared" si="8"/>
        <v>0.18389604426032125</v>
      </c>
      <c r="J20" s="3"/>
      <c r="K20" s="3"/>
      <c r="L20" s="3"/>
      <c r="M20" s="3"/>
      <c r="N20" s="3"/>
      <c r="O20" s="3"/>
      <c r="P20" s="3"/>
      <c r="Q20" s="3"/>
      <c r="R20" s="3"/>
      <c r="S20" s="31">
        <f>I6*I20*100</f>
        <v>220.67525311238549</v>
      </c>
      <c r="T20" s="31">
        <f>I20*100*(I6-I5)</f>
        <v>147.116835408257</v>
      </c>
      <c r="U20" s="31">
        <f>$I$20*100*($I$6-$I$5*K10)</f>
        <v>73.558417704128502</v>
      </c>
      <c r="V20" s="31">
        <f>$I$20*100*($I$6-$I$5*L10)</f>
        <v>0</v>
      </c>
      <c r="W20" s="31">
        <f>$I$20*100*($I$6-$I$5*M10)</f>
        <v>-73.558417704128502</v>
      </c>
      <c r="X20" s="31">
        <f>$I$20*100*($I$6-$I$5*N10)</f>
        <v>-147.116835408257</v>
      </c>
      <c r="Y20" s="31">
        <f>$I$20*100*($I$6-$I$5*O10)</f>
        <v>-220.67525311238552</v>
      </c>
      <c r="Z20" s="31">
        <f t="shared" ref="Z20:AC20" si="36">$I$20*100*($I$6-$I$5*P10)</f>
        <v>-294.23367081651401</v>
      </c>
      <c r="AA20" s="31">
        <f t="shared" si="36"/>
        <v>-367.79208852064249</v>
      </c>
      <c r="AB20" s="31">
        <f t="shared" si="36"/>
        <v>-441.35050622477104</v>
      </c>
      <c r="AC20" s="31">
        <f t="shared" si="36"/>
        <v>-514.90892392889953</v>
      </c>
    </row>
    <row r="21" spans="2:29" ht="16.8" x14ac:dyDescent="0.3">
      <c r="B21" s="24" t="str">
        <f t="shared" si="11"/>
        <v>L9</v>
      </c>
      <c r="C21" s="10">
        <f t="shared" si="12"/>
        <v>0.13306515503641192</v>
      </c>
      <c r="D21" s="9">
        <f t="shared" si="13"/>
        <v>292.74334108010623</v>
      </c>
      <c r="E21" s="9">
        <f>IF(B21=0,0,($E$7*($E$10-9)))</f>
        <v>22</v>
      </c>
      <c r="H21" s="34">
        <v>11</v>
      </c>
      <c r="I21" s="30">
        <f t="shared" si="8"/>
        <v>0.25414433316776397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2">
        <f>I6*I21*100</f>
        <v>304.97319980131675</v>
      </c>
      <c r="U21" s="32">
        <f>I21*100*(I6-I5)</f>
        <v>203.31546653421117</v>
      </c>
      <c r="V21" s="32">
        <f>$I$21*100*($I$6-$I$5*K10)</f>
        <v>101.65773326710558</v>
      </c>
      <c r="W21" s="32">
        <f>$I$21*100*($I$6-$I$5*L10)</f>
        <v>0</v>
      </c>
      <c r="X21" s="32">
        <f>$I$21*100*($I$6-$I$5*M10)</f>
        <v>-101.65773326710558</v>
      </c>
      <c r="Y21" s="32">
        <f>$I$21*100*($I$6-$I$5*N10)</f>
        <v>-203.31546653421117</v>
      </c>
      <c r="Z21" s="32">
        <f t="shared" ref="Z21:AC21" si="37">$I$21*100*($I$6-$I$5*O10)</f>
        <v>-304.97319980131675</v>
      </c>
      <c r="AA21" s="32">
        <f t="shared" si="37"/>
        <v>-406.63093306842234</v>
      </c>
      <c r="AB21" s="32">
        <f t="shared" si="37"/>
        <v>-508.28866633552792</v>
      </c>
      <c r="AC21" s="32">
        <f t="shared" si="37"/>
        <v>-609.94639960263351</v>
      </c>
    </row>
    <row r="22" spans="2:29" ht="16.8" x14ac:dyDescent="0.3">
      <c r="B22" s="24" t="str">
        <f t="shared" si="11"/>
        <v>L10</v>
      </c>
      <c r="C22" s="10">
        <f t="shared" si="12"/>
        <v>0.18389604426032125</v>
      </c>
      <c r="D22" s="9">
        <f t="shared" si="13"/>
        <v>367.79208852064249</v>
      </c>
      <c r="E22" s="9">
        <f>IF(B22=0,0,($E$7*($E$10-10)))</f>
        <v>20</v>
      </c>
      <c r="H22" s="34">
        <v>12</v>
      </c>
      <c r="I22" s="30">
        <f t="shared" si="8"/>
        <v>0.3512274684378498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2"/>
      <c r="U22" s="32">
        <f>I6*I22*100</f>
        <v>421.47296212541977</v>
      </c>
      <c r="V22" s="32">
        <f>I22*100*(I6-I5)</f>
        <v>280.98197475027985</v>
      </c>
      <c r="W22" s="32">
        <f>$I$22*100*($I$6-$I$5*K10)</f>
        <v>140.49098737513992</v>
      </c>
      <c r="X22" s="32">
        <f>$I$22*100*($I$6-$I$5*L10)</f>
        <v>0</v>
      </c>
      <c r="Y22" s="32">
        <f>$I$22*100*($I$6-$I$5*M10)</f>
        <v>-140.49098737513992</v>
      </c>
      <c r="Z22" s="32">
        <f t="shared" ref="Z22:AC22" si="38">$I$22*100*($I$6-$I$5*N10)</f>
        <v>-280.98197475027985</v>
      </c>
      <c r="AA22" s="32">
        <f t="shared" si="38"/>
        <v>-421.47296212541977</v>
      </c>
      <c r="AB22" s="32">
        <f t="shared" si="38"/>
        <v>-561.96394950055969</v>
      </c>
      <c r="AC22" s="32">
        <f t="shared" si="38"/>
        <v>-702.45493687569956</v>
      </c>
    </row>
    <row r="23" spans="2:29" ht="16.8" x14ac:dyDescent="0.3">
      <c r="B23" s="24" t="str">
        <f t="shared" si="11"/>
        <v>L11</v>
      </c>
      <c r="C23" s="10">
        <f t="shared" si="12"/>
        <v>0.25414433316776397</v>
      </c>
      <c r="D23" s="9">
        <f t="shared" si="13"/>
        <v>457.4597997019751</v>
      </c>
      <c r="E23" s="9">
        <f>IF(B23=0,0,($E$7*($E$10-11)))</f>
        <v>18</v>
      </c>
      <c r="H23" s="34">
        <v>13</v>
      </c>
      <c r="I23" s="30">
        <f t="shared" si="8"/>
        <v>0.48539636138110837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2"/>
      <c r="U23" s="32"/>
      <c r="V23" s="32">
        <f>I6*I23*100</f>
        <v>582.47563365733004</v>
      </c>
      <c r="W23" s="32">
        <f>I23*100*(I6-I5)</f>
        <v>388.31708910488669</v>
      </c>
      <c r="X23" s="32">
        <f>$I$23*100*($I$6-$I$5*K10)</f>
        <v>194.15854455244335</v>
      </c>
      <c r="Y23" s="32">
        <f>$I$23*100*($I$6-$I$5*L10)</f>
        <v>0</v>
      </c>
      <c r="Z23" s="32">
        <f t="shared" ref="Z23:AC23" si="39">$I$23*100*($I$6-$I$5*M10)</f>
        <v>-194.15854455244335</v>
      </c>
      <c r="AA23" s="32">
        <f t="shared" si="39"/>
        <v>-388.31708910488669</v>
      </c>
      <c r="AB23" s="32">
        <f t="shared" si="39"/>
        <v>-582.47563365733004</v>
      </c>
      <c r="AC23" s="32">
        <f t="shared" si="39"/>
        <v>-776.63417820977338</v>
      </c>
    </row>
    <row r="24" spans="2:29" ht="16.8" x14ac:dyDescent="0.3">
      <c r="B24" s="24" t="str">
        <f t="shared" si="11"/>
        <v>L12</v>
      </c>
      <c r="C24" s="10">
        <f t="shared" si="12"/>
        <v>0.3512274684378498</v>
      </c>
      <c r="D24" s="9">
        <f t="shared" si="13"/>
        <v>561.96394950055969</v>
      </c>
      <c r="E24" s="9">
        <f>IF(B24=0,0,($E$7*($E$10-12)))</f>
        <v>16</v>
      </c>
      <c r="H24" s="34">
        <v>14</v>
      </c>
      <c r="I24" s="30">
        <f t="shared" si="8"/>
        <v>0.6708177714286917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2"/>
      <c r="U24" s="32"/>
      <c r="V24" s="32"/>
      <c r="W24" s="32">
        <f>I6*I24*100</f>
        <v>804.98132571443011</v>
      </c>
      <c r="X24" s="32">
        <f>I24*100*(I6-I5)</f>
        <v>536.65421714295337</v>
      </c>
      <c r="Y24" s="32">
        <f>$I$24*100*($I$6-$I$5*K10)</f>
        <v>268.32710857147669</v>
      </c>
      <c r="Z24" s="32">
        <f t="shared" ref="Z24:AC24" si="40">$I$24*100*($I$6-$I$5*L10)</f>
        <v>0</v>
      </c>
      <c r="AA24" s="32">
        <f t="shared" si="40"/>
        <v>-268.32710857147669</v>
      </c>
      <c r="AB24" s="32">
        <f t="shared" si="40"/>
        <v>-536.65421714295337</v>
      </c>
      <c r="AC24" s="32">
        <f t="shared" si="40"/>
        <v>-804.98132571443011</v>
      </c>
    </row>
    <row r="25" spans="2:29" ht="16.8" x14ac:dyDescent="0.3">
      <c r="B25" s="24" t="str">
        <f t="shared" si="11"/>
        <v>L13</v>
      </c>
      <c r="C25" s="10">
        <f t="shared" si="12"/>
        <v>0.48539636138110837</v>
      </c>
      <c r="D25" s="9">
        <f t="shared" si="13"/>
        <v>679.55490593355171</v>
      </c>
      <c r="E25" s="9">
        <f>IF(B25=0,0,($E$7*($E$10-13)))</f>
        <v>14</v>
      </c>
      <c r="H25" s="34">
        <v>15</v>
      </c>
      <c r="I25" s="30">
        <f t="shared" si="8"/>
        <v>0.92707016011445187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2"/>
      <c r="U25" s="32"/>
      <c r="V25" s="32"/>
      <c r="W25" s="32"/>
      <c r="X25" s="32">
        <f>I6*I25*100</f>
        <v>1112.4841921373422</v>
      </c>
      <c r="Y25" s="32">
        <f>I25*100*(I6-I5)</f>
        <v>741.65612809156153</v>
      </c>
      <c r="Z25" s="32">
        <f>$I$25*100*($I$6-$I$5*K10)</f>
        <v>370.82806404578076</v>
      </c>
      <c r="AA25" s="32">
        <f>$I$25*100*($I$6-$I$5*L10)</f>
        <v>0</v>
      </c>
      <c r="AB25" s="32">
        <f>$I$25*100*($I$6-$I$5*M10)</f>
        <v>-370.82806404578076</v>
      </c>
      <c r="AC25" s="32">
        <f>$I$25*100*($I$6-$I$5*N10)</f>
        <v>-741.65612809156153</v>
      </c>
    </row>
    <row r="26" spans="2:29" ht="16.8" x14ac:dyDescent="0.3">
      <c r="B26" s="24" t="str">
        <f t="shared" si="11"/>
        <v>L14</v>
      </c>
      <c r="C26" s="10">
        <f t="shared" si="12"/>
        <v>0.6708177714286917</v>
      </c>
      <c r="D26" s="9">
        <f t="shared" si="13"/>
        <v>804.98132571443011</v>
      </c>
      <c r="E26" s="9">
        <f>IF(B26=0,0,($E$7*($E$10-14)))</f>
        <v>12</v>
      </c>
      <c r="H26" s="34">
        <v>16</v>
      </c>
      <c r="I26" s="30">
        <f t="shared" si="8"/>
        <v>1.2812109612781724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2"/>
      <c r="U26" s="32"/>
      <c r="V26" s="32"/>
      <c r="W26" s="32"/>
      <c r="X26" s="32"/>
      <c r="Y26" s="32">
        <f>I26*I6*100</f>
        <v>1537.4531535338069</v>
      </c>
      <c r="Z26" s="32">
        <f>$I$26*100*($I$6-$I$5)</f>
        <v>1024.9687690225378</v>
      </c>
      <c r="AA26" s="32">
        <f>$I$26*100*($I$6-$I$5*K10)</f>
        <v>512.4843845112689</v>
      </c>
      <c r="AB26" s="32">
        <f>$I$26*100*($I$6-$I$5*L10)</f>
        <v>0</v>
      </c>
      <c r="AC26" s="32">
        <f>$I$26*100*($I$6-$I$5*M10)</f>
        <v>-512.4843845112689</v>
      </c>
    </row>
    <row r="27" spans="2:29" ht="16.8" x14ac:dyDescent="0.3">
      <c r="B27" s="24" t="str">
        <f t="shared" si="11"/>
        <v>L15</v>
      </c>
      <c r="C27" s="10">
        <f t="shared" si="12"/>
        <v>0.92707016011445187</v>
      </c>
      <c r="D27" s="9">
        <f t="shared" si="13"/>
        <v>927.07016011445182</v>
      </c>
      <c r="E27" s="9">
        <f>IF(B27=0,0,($E$7*($E$10-15)))</f>
        <v>10</v>
      </c>
      <c r="H27" s="34">
        <v>17</v>
      </c>
      <c r="I27" s="30">
        <f t="shared" si="8"/>
        <v>1.770633548486434</v>
      </c>
      <c r="Z27" s="32">
        <f>$I$27*$I$6*100</f>
        <v>2124.7602581837205</v>
      </c>
      <c r="AA27" s="32">
        <f>$I$27*100*($I$6-$I$5*J$10)</f>
        <v>1416.5068387891472</v>
      </c>
      <c r="AB27" s="32">
        <f t="shared" ref="AB27:AC27" si="41">$I$27*100*($I$6-$I$5*K$10)</f>
        <v>708.2534193945736</v>
      </c>
      <c r="AC27" s="32">
        <f t="shared" si="41"/>
        <v>0</v>
      </c>
    </row>
    <row r="28" spans="2:29" ht="16.8" x14ac:dyDescent="0.3">
      <c r="B28" s="24" t="str">
        <f t="shared" si="11"/>
        <v>L16</v>
      </c>
      <c r="C28" s="10">
        <f t="shared" si="12"/>
        <v>1.2812109612781724</v>
      </c>
      <c r="D28" s="9">
        <f t="shared" si="13"/>
        <v>1024.9687690225378</v>
      </c>
      <c r="E28" s="9">
        <f>IF(B28=0,0,($E$7*($E$10-16)))</f>
        <v>8</v>
      </c>
      <c r="H28" s="34">
        <v>18</v>
      </c>
      <c r="I28" s="30">
        <f t="shared" si="8"/>
        <v>2.4470155640082516</v>
      </c>
      <c r="AA28" s="32">
        <f>$I$28*$I$6*100</f>
        <v>2936.4186768099016</v>
      </c>
      <c r="AB28" s="32">
        <f>$I$28*100*($I$6-$I$5*J$10)</f>
        <v>1957.6124512066012</v>
      </c>
      <c r="AC28" s="32">
        <f>$I$28*100*($I$6-$I$5*K$10)</f>
        <v>978.80622560330062</v>
      </c>
    </row>
    <row r="29" spans="2:29" ht="16.8" x14ac:dyDescent="0.3">
      <c r="B29" s="24" t="str">
        <f t="shared" si="11"/>
        <v>L17</v>
      </c>
      <c r="C29" s="10">
        <f t="shared" si="12"/>
        <v>1.770633548486434</v>
      </c>
      <c r="D29" s="9">
        <f t="shared" si="13"/>
        <v>1062.3801290918602</v>
      </c>
      <c r="E29" s="9">
        <f>IF(B29=0,0,($E$7*($E$10-17)))</f>
        <v>6</v>
      </c>
      <c r="H29" s="34">
        <v>19</v>
      </c>
      <c r="I29" s="30">
        <f t="shared" si="8"/>
        <v>3.3817755094594033</v>
      </c>
      <c r="AB29" s="32">
        <f>$I$29*$I$6*100</f>
        <v>4058.1306113512837</v>
      </c>
      <c r="AC29" s="32">
        <f>$I$29*100*($I$6-$I$5*J$10)</f>
        <v>2705.4204075675225</v>
      </c>
    </row>
    <row r="30" spans="2:29" ht="16.8" x14ac:dyDescent="0.3">
      <c r="B30" s="24" t="str">
        <f t="shared" si="11"/>
        <v>L18</v>
      </c>
      <c r="C30" s="10">
        <f t="shared" si="12"/>
        <v>2.4470155640082516</v>
      </c>
      <c r="D30" s="9">
        <f t="shared" si="13"/>
        <v>978.80622560330062</v>
      </c>
      <c r="E30" s="9">
        <f>IF(B30=0,0,($E$7*($E$10-18)))</f>
        <v>4</v>
      </c>
      <c r="H30" s="34">
        <v>20</v>
      </c>
      <c r="I30" s="30">
        <f t="shared" si="8"/>
        <v>4.6736137540728953</v>
      </c>
      <c r="AC30" s="32">
        <f>$I$30*$I$6*100</f>
        <v>5608.3365048874739</v>
      </c>
    </row>
    <row r="31" spans="2:29" ht="16.8" x14ac:dyDescent="0.3">
      <c r="B31" s="24" t="str">
        <f>IF(B30=0,0,IF(VALUE(MID(B30,2,2))&gt;=$E$10,0,"L"&amp;VALUE(MID(B30,2,2))+1))</f>
        <v>L19</v>
      </c>
      <c r="C31" s="10">
        <f>IF(B31&lt;&gt;0,C30*$E$9,0)</f>
        <v>3.3817755094594033</v>
      </c>
      <c r="D31" s="9">
        <f t="shared" si="13"/>
        <v>676.35510189188062</v>
      </c>
      <c r="E31" s="9">
        <f>IF(B31=0,0,($E$7*($E$10-19)))</f>
        <v>2</v>
      </c>
      <c r="H31" s="36" t="s">
        <v>46</v>
      </c>
      <c r="I31" s="41">
        <f>SUM(I11:I26)</f>
        <v>4.6089883468231267</v>
      </c>
      <c r="J31" s="37">
        <f>SUMIF(J11:J30, "&lt;0")</f>
        <v>0</v>
      </c>
      <c r="K31" s="37">
        <f t="shared" ref="K31:AC31" si="42">SUMIF(K11:K30, "&lt;0")</f>
        <v>0</v>
      </c>
      <c r="L31" s="37">
        <f t="shared" si="42"/>
        <v>0</v>
      </c>
      <c r="M31" s="37">
        <f t="shared" si="42"/>
        <v>0</v>
      </c>
      <c r="N31" s="37">
        <f t="shared" si="42"/>
        <v>-4</v>
      </c>
      <c r="O31" s="37">
        <f t="shared" si="42"/>
        <v>-13.527999999999999</v>
      </c>
      <c r="P31" s="37">
        <f t="shared" si="42"/>
        <v>-30.695695999999998</v>
      </c>
      <c r="Q31" s="37">
        <f t="shared" si="42"/>
        <v>-58.421451872000006</v>
      </c>
      <c r="R31" s="37">
        <f t="shared" si="42"/>
        <v>-100.73844648710399</v>
      </c>
      <c r="S31" s="37">
        <f t="shared" si="42"/>
        <v>-163.22053304517769</v>
      </c>
      <c r="T31" s="37">
        <f t="shared" si="42"/>
        <v>-253.57077666843554</v>
      </c>
      <c r="U31" s="37">
        <f t="shared" si="42"/>
        <v>-382.43481335577786</v>
      </c>
      <c r="V31" s="37">
        <f t="shared" si="42"/>
        <v>-564.52491205768501</v>
      </c>
      <c r="W31" s="37">
        <f t="shared" si="42"/>
        <v>-820.1734284637206</v>
      </c>
      <c r="X31" s="37">
        <f t="shared" si="42"/>
        <v>-1177.4796781368618</v>
      </c>
      <c r="Y31" s="37">
        <f t="shared" si="42"/>
        <v>-1675.276915185143</v>
      </c>
      <c r="Z31" s="37">
        <f t="shared" si="42"/>
        <v>-2367.2326967858671</v>
      </c>
      <c r="AA31" s="37">
        <f t="shared" si="42"/>
        <v>-3327.5155869580685</v>
      </c>
      <c r="AB31" s="37">
        <f t="shared" si="42"/>
        <v>-4658.6265411760505</v>
      </c>
      <c r="AC31" s="37">
        <f t="shared" si="42"/>
        <v>-6502.2218799053016</v>
      </c>
    </row>
    <row r="32" spans="2:29" ht="16.8" x14ac:dyDescent="0.3">
      <c r="B32" s="24" t="str">
        <f t="shared" si="11"/>
        <v>L20</v>
      </c>
      <c r="C32" s="10">
        <f t="shared" si="12"/>
        <v>4.6736137540728953</v>
      </c>
      <c r="D32" s="9">
        <f t="shared" si="13"/>
        <v>0</v>
      </c>
      <c r="E32" s="9">
        <f t="shared" ref="E32:E34" si="43">IF(B32=0,0,($E$7*($E$10-20)))</f>
        <v>0</v>
      </c>
      <c r="I32" s="5" t="s">
        <v>85</v>
      </c>
      <c r="J32" s="124">
        <f t="shared" ref="J32:AC32" si="44">SUM(J11:J30)</f>
        <v>12</v>
      </c>
      <c r="K32" s="124">
        <f t="shared" si="44"/>
        <v>24.584</v>
      </c>
      <c r="L32" s="124">
        <f t="shared" si="44"/>
        <v>37.975087999999992</v>
      </c>
      <c r="M32" s="124">
        <f t="shared" si="44"/>
        <v>52.481571615999989</v>
      </c>
      <c r="N32" s="124">
        <f t="shared" si="44"/>
        <v>68.529531973311975</v>
      </c>
      <c r="O32" s="124">
        <f t="shared" si="44"/>
        <v>86.707813187117154</v>
      </c>
      <c r="P32" s="124">
        <f t="shared" si="44"/>
        <v>107.83019782459588</v>
      </c>
      <c r="Q32" s="124">
        <f t="shared" si="44"/>
        <v>133.0213333935915</v>
      </c>
      <c r="R32" s="124">
        <f t="shared" si="44"/>
        <v>163.83548274994345</v>
      </c>
      <c r="S32" s="124">
        <f t="shared" si="44"/>
        <v>202.42063716042185</v>
      </c>
      <c r="T32" s="124">
        <f t="shared" si="44"/>
        <v>251.74532055570299</v>
      </c>
      <c r="U32" s="124">
        <f t="shared" si="44"/>
        <v>315.91203300798156</v>
      </c>
      <c r="V32" s="124">
        <f t="shared" si="44"/>
        <v>400.59042961703045</v>
      </c>
      <c r="W32" s="124">
        <f t="shared" si="44"/>
        <v>513.61597373073619</v>
      </c>
      <c r="X32" s="124">
        <f t="shared" si="44"/>
        <v>665.81727569587713</v>
      </c>
      <c r="Y32" s="124">
        <f t="shared" si="44"/>
        <v>872.15947501170206</v>
      </c>
      <c r="Z32" s="124">
        <f t="shared" si="44"/>
        <v>1153.324394466172</v>
      </c>
      <c r="AA32" s="124">
        <f t="shared" si="44"/>
        <v>1537.8943131522494</v>
      </c>
      <c r="AB32" s="124">
        <f t="shared" si="44"/>
        <v>2065.3699407764079</v>
      </c>
      <c r="AC32" s="124">
        <f t="shared" si="44"/>
        <v>2790.3412581529956</v>
      </c>
    </row>
    <row r="33" spans="2:30" ht="16.8" x14ac:dyDescent="0.3">
      <c r="B33" s="24">
        <f t="shared" si="11"/>
        <v>0</v>
      </c>
      <c r="C33" s="10">
        <f t="shared" si="12"/>
        <v>0</v>
      </c>
      <c r="D33" s="9">
        <f t="shared" si="13"/>
        <v>0</v>
      </c>
      <c r="E33" s="9">
        <f t="shared" si="43"/>
        <v>0</v>
      </c>
      <c r="H33" s="1"/>
      <c r="I33" s="5" t="s">
        <v>86</v>
      </c>
      <c r="J33" s="39">
        <f>SUM($I11:$I11)</f>
        <v>0.01</v>
      </c>
      <c r="K33" s="39">
        <f>SUM($I11:$I12)</f>
        <v>2.3820000000000001E-2</v>
      </c>
      <c r="L33" s="39">
        <f>SUM($I11:$I13)</f>
        <v>4.2919239999999997E-2</v>
      </c>
      <c r="M33" s="39">
        <f>SUM($I11:$I14)</f>
        <v>6.9314389679999991E-2</v>
      </c>
      <c r="N33" s="39">
        <f>SUM($I11:$I15)</f>
        <v>0.10579248653775998</v>
      </c>
      <c r="O33" s="39">
        <f>SUM($I11:$I16)</f>
        <v>0.15620521639518428</v>
      </c>
      <c r="P33" s="39">
        <f>SUM($I11:$I17)</f>
        <v>0.22587560905814466</v>
      </c>
      <c r="Q33" s="39">
        <f>SUM($I11:$I18)</f>
        <v>0.32216009171835591</v>
      </c>
      <c r="R33" s="39">
        <f>SUM($I11:$I19)</f>
        <v>0.45522524675476783</v>
      </c>
      <c r="S33" s="39">
        <f>SUM($I11:$I20)</f>
        <v>0.63912129101508908</v>
      </c>
      <c r="T33" s="39">
        <f>SUM($I11:$I21)</f>
        <v>0.89326562418285305</v>
      </c>
      <c r="U33" s="39">
        <f>SUM($I11:$I22)</f>
        <v>1.244493092620703</v>
      </c>
      <c r="V33" s="39">
        <f>SUM($I11:$I23)</f>
        <v>1.7298894540018113</v>
      </c>
      <c r="W33" s="39">
        <f>SUM($I11:$I24)</f>
        <v>2.4007072254305029</v>
      </c>
      <c r="X33" s="39">
        <f>SUM($I11:$I25)</f>
        <v>3.3277773855449548</v>
      </c>
      <c r="Y33" s="39">
        <f>SUM($I11:$I26)</f>
        <v>4.6089883468231267</v>
      </c>
      <c r="Z33" s="39">
        <f>SUM($I11:$I27)</f>
        <v>6.3796218953095609</v>
      </c>
      <c r="AA33" s="39">
        <f>SUM($I11:$I28)</f>
        <v>8.8266374593178121</v>
      </c>
      <c r="AB33" s="39">
        <f>SUM($I11:$I29)</f>
        <v>12.208412968777216</v>
      </c>
      <c r="AC33" s="39">
        <f>SUM($I11:$I30)</f>
        <v>16.88202672285011</v>
      </c>
    </row>
    <row r="34" spans="2:30" ht="17.399999999999999" thickBot="1" x14ac:dyDescent="0.35">
      <c r="B34" s="24">
        <f t="shared" si="11"/>
        <v>0</v>
      </c>
      <c r="C34" s="10">
        <f t="shared" si="12"/>
        <v>0</v>
      </c>
      <c r="D34" s="9">
        <f t="shared" si="13"/>
        <v>0</v>
      </c>
      <c r="E34" s="9">
        <f t="shared" si="43"/>
        <v>0</v>
      </c>
    </row>
    <row r="35" spans="2:30" ht="18" thickTop="1" thickBot="1" x14ac:dyDescent="0.3">
      <c r="B35" s="56" t="s">
        <v>11</v>
      </c>
      <c r="C35" s="25">
        <f>SUM(C13:C34)</f>
        <v>16.88202672285011</v>
      </c>
      <c r="D35" s="25">
        <f>SUM(D13:D34)</f>
        <v>8734.045404633569</v>
      </c>
      <c r="E35" s="26">
        <f>MAX(E13:E34)</f>
        <v>38</v>
      </c>
      <c r="J35" s="5" t="str">
        <f t="shared" ref="J35:AB35" si="45">"iff(trade_no == "&amp;J10&amp;") return "&amp;ROUND(J32, 2)&amp;" ;"</f>
        <v>iff(trade_no == 1) return 12 ;</v>
      </c>
      <c r="K35" s="5" t="str">
        <f t="shared" si="45"/>
        <v>iff(trade_no == 2) return 24.58 ;</v>
      </c>
      <c r="L35" s="5" t="str">
        <f t="shared" si="45"/>
        <v>iff(trade_no == 3) return 37.98 ;</v>
      </c>
      <c r="M35" s="5" t="str">
        <f t="shared" si="45"/>
        <v>iff(trade_no == 4) return 52.48 ;</v>
      </c>
      <c r="N35" s="5" t="str">
        <f t="shared" si="45"/>
        <v>iff(trade_no == 5) return 68.53 ;</v>
      </c>
      <c r="O35" s="5" t="str">
        <f t="shared" si="45"/>
        <v>iff(trade_no == 6) return 86.71 ;</v>
      </c>
      <c r="P35" s="5" t="str">
        <f t="shared" si="45"/>
        <v>iff(trade_no == 7) return 107.83 ;</v>
      </c>
      <c r="Q35" s="5" t="str">
        <f t="shared" si="45"/>
        <v>iff(trade_no == 8) return 133.02 ;</v>
      </c>
      <c r="R35" s="5" t="str">
        <f t="shared" si="45"/>
        <v>iff(trade_no == 9) return 163.84 ;</v>
      </c>
      <c r="S35" s="5" t="str">
        <f t="shared" si="45"/>
        <v>iff(trade_no == 10) return 202.42 ;</v>
      </c>
      <c r="T35" s="5" t="str">
        <f t="shared" si="45"/>
        <v>iff(trade_no == 11) return 251.75 ;</v>
      </c>
      <c r="U35" s="5" t="str">
        <f t="shared" si="45"/>
        <v>iff(trade_no == 12) return 315.91 ;</v>
      </c>
      <c r="V35" s="5" t="str">
        <f t="shared" si="45"/>
        <v>iff(trade_no == 13) return 400.59 ;</v>
      </c>
      <c r="W35" s="5" t="str">
        <f t="shared" si="45"/>
        <v>iff(trade_no == 14) return 513.62 ;</v>
      </c>
      <c r="X35" s="5" t="str">
        <f t="shared" si="45"/>
        <v>iff(trade_no == 15) return 665.82 ;</v>
      </c>
      <c r="Y35" s="5" t="str">
        <f t="shared" si="45"/>
        <v>iff(trade_no == 16) return 872.16 ;</v>
      </c>
      <c r="Z35" s="5" t="str">
        <f t="shared" si="45"/>
        <v>iff(trade_no == 17) return 1153.32 ;</v>
      </c>
      <c r="AA35" s="5" t="str">
        <f t="shared" si="45"/>
        <v>iff(trade_no == 18) return 1537.89 ;</v>
      </c>
      <c r="AB35" s="5" t="str">
        <f t="shared" si="45"/>
        <v>iff(trade_no == 19) return 2065.37 ;</v>
      </c>
      <c r="AC35" s="5" t="str">
        <f>"iff(trade_no == "&amp;AC10&amp;") return "&amp;ROUND(AC32, 2)&amp;" ;"</f>
        <v>iff(trade_no == 20) return 2790.34 ;</v>
      </c>
    </row>
    <row r="36" spans="2:30" ht="13.8" thickTop="1" x14ac:dyDescent="0.25"/>
    <row r="37" spans="2:30" x14ac:dyDescent="0.25"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2:30" x14ac:dyDescent="0.25"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2:30" x14ac:dyDescent="0.25"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2:30" x14ac:dyDescent="0.25"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2:30" x14ac:dyDescent="0.25"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2:30" x14ac:dyDescent="0.25"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2:30" x14ac:dyDescent="0.25"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2:30" x14ac:dyDescent="0.25"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2:30" x14ac:dyDescent="0.25"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2:30" x14ac:dyDescent="0.25"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2:30" x14ac:dyDescent="0.25"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2:30" x14ac:dyDescent="0.25"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6:30" x14ac:dyDescent="0.25"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6:30" x14ac:dyDescent="0.25"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6:30" x14ac:dyDescent="0.25"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6:30" x14ac:dyDescent="0.25"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6:30" x14ac:dyDescent="0.25"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6:30" x14ac:dyDescent="0.25"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6:30" x14ac:dyDescent="0.25"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6:30" x14ac:dyDescent="0.25"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6:30" x14ac:dyDescent="0.25"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6:30" x14ac:dyDescent="0.25"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6:30" x14ac:dyDescent="0.25"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6:30" x14ac:dyDescent="0.25"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6:30" x14ac:dyDescent="0.25"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6:30" x14ac:dyDescent="0.25"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6:30" x14ac:dyDescent="0.25"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6:30" x14ac:dyDescent="0.25"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6:30" x14ac:dyDescent="0.25"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6:30" x14ac:dyDescent="0.25"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6:30" x14ac:dyDescent="0.25"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6:30" x14ac:dyDescent="0.25"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6:30" x14ac:dyDescent="0.25"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6:30" x14ac:dyDescent="0.25"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6:30" x14ac:dyDescent="0.25"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6:30" x14ac:dyDescent="0.25"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6:30" x14ac:dyDescent="0.25"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6:30" x14ac:dyDescent="0.25"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6:30" x14ac:dyDescent="0.25"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6:30" x14ac:dyDescent="0.25"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6:30" x14ac:dyDescent="0.25"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6:30" x14ac:dyDescent="0.25"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6:30" x14ac:dyDescent="0.25"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6:30" x14ac:dyDescent="0.25"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6:26" x14ac:dyDescent="0.25"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6:26" x14ac:dyDescent="0.25"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6:26" x14ac:dyDescent="0.25"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6:26" x14ac:dyDescent="0.25"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6:26" x14ac:dyDescent="0.25"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6:26" x14ac:dyDescent="0.25"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6:26" x14ac:dyDescent="0.25"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6:26" x14ac:dyDescent="0.25"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6:26" x14ac:dyDescent="0.25"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6:26" x14ac:dyDescent="0.25"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6:26" x14ac:dyDescent="0.25"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6:26" x14ac:dyDescent="0.25"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6:26" x14ac:dyDescent="0.25"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6:26" x14ac:dyDescent="0.25"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6:26" x14ac:dyDescent="0.25"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6:26" x14ac:dyDescent="0.25"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6:26" x14ac:dyDescent="0.25"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6:26" x14ac:dyDescent="0.25"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6:26" x14ac:dyDescent="0.25"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</sheetData>
  <protectedRanges>
    <protectedRange sqref="E2:E10" name="DATA_2"/>
  </protectedRanges>
  <mergeCells count="6">
    <mergeCell ref="K3:L3"/>
    <mergeCell ref="M3:N3"/>
    <mergeCell ref="O3:Q3"/>
    <mergeCell ref="K2:L2"/>
    <mergeCell ref="M2:N2"/>
    <mergeCell ref="O2:Q2"/>
  </mergeCells>
  <phoneticPr fontId="7"/>
  <conditionalFormatting sqref="J10">
    <cfRule type="expression" dxfId="39" priority="73">
      <formula>$J$10=$E$10</formula>
    </cfRule>
  </conditionalFormatting>
  <conditionalFormatting sqref="K10">
    <cfRule type="expression" dxfId="38" priority="74">
      <formula>$K$10=$E$10</formula>
    </cfRule>
  </conditionalFormatting>
  <conditionalFormatting sqref="L10">
    <cfRule type="expression" dxfId="37" priority="75">
      <formula>$L$10=$E$10</formula>
    </cfRule>
  </conditionalFormatting>
  <conditionalFormatting sqref="M10">
    <cfRule type="expression" dxfId="36" priority="76">
      <formula>$M$10=$E$10</formula>
    </cfRule>
  </conditionalFormatting>
  <conditionalFormatting sqref="N10">
    <cfRule type="expression" dxfId="35" priority="77">
      <formula>$N$10=$E$10</formula>
    </cfRule>
  </conditionalFormatting>
  <conditionalFormatting sqref="O10">
    <cfRule type="expression" dxfId="34" priority="78">
      <formula>$O$10=$E$10</formula>
    </cfRule>
  </conditionalFormatting>
  <conditionalFormatting sqref="P10">
    <cfRule type="expression" dxfId="33" priority="79">
      <formula>$P$10=$E$10</formula>
    </cfRule>
  </conditionalFormatting>
  <conditionalFormatting sqref="Q10">
    <cfRule type="expression" dxfId="32" priority="80">
      <formula>$Q$10=$E$10</formula>
    </cfRule>
  </conditionalFormatting>
  <conditionalFormatting sqref="R10">
    <cfRule type="expression" dxfId="31" priority="81">
      <formula>$R$10=$E$10</formula>
    </cfRule>
  </conditionalFormatting>
  <conditionalFormatting sqref="S10">
    <cfRule type="expression" dxfId="30" priority="82">
      <formula>$S$10=$E$10</formula>
    </cfRule>
  </conditionalFormatting>
  <conditionalFormatting sqref="T10">
    <cfRule type="expression" dxfId="29" priority="83">
      <formula>$T$10=$E$10</formula>
    </cfRule>
  </conditionalFormatting>
  <conditionalFormatting sqref="U10">
    <cfRule type="expression" dxfId="28" priority="84">
      <formula>$U$10=$E$10</formula>
    </cfRule>
  </conditionalFormatting>
  <conditionalFormatting sqref="V10">
    <cfRule type="expression" dxfId="27" priority="85">
      <formula>$V$10=$E$10</formula>
    </cfRule>
  </conditionalFormatting>
  <conditionalFormatting sqref="W10">
    <cfRule type="expression" dxfId="26" priority="86">
      <formula>$W$10=$E$10</formula>
    </cfRule>
  </conditionalFormatting>
  <conditionalFormatting sqref="X10">
    <cfRule type="expression" dxfId="25" priority="87">
      <formula>$X$10=$E$10</formula>
    </cfRule>
  </conditionalFormatting>
  <conditionalFormatting sqref="Y10">
    <cfRule type="expression" dxfId="24" priority="88">
      <formula>$Y$10=$E$10</formula>
    </cfRule>
  </conditionalFormatting>
  <conditionalFormatting sqref="Z10">
    <cfRule type="expression" dxfId="23" priority="24">
      <formula>$Z$10=$E$10</formula>
    </cfRule>
  </conditionalFormatting>
  <conditionalFormatting sqref="AA10">
    <cfRule type="expression" dxfId="22" priority="23">
      <formula>$AA$10=$E$10</formula>
    </cfRule>
  </conditionalFormatting>
  <conditionalFormatting sqref="AB10">
    <cfRule type="expression" dxfId="21" priority="22">
      <formula>$AB$10=$E$10</formula>
    </cfRule>
  </conditionalFormatting>
  <conditionalFormatting sqref="AC10">
    <cfRule type="expression" dxfId="20" priority="21">
      <formula>$AC$10=$E$10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F4C-599F-4FD9-B039-A87B0308EEC1}">
  <dimension ref="B1:AD99"/>
  <sheetViews>
    <sheetView zoomScale="85" zoomScaleNormal="85" workbookViewId="0">
      <selection activeCell="H2" sqref="H2"/>
    </sheetView>
  </sheetViews>
  <sheetFormatPr defaultColWidth="9.09765625" defaultRowHeight="13.2" x14ac:dyDescent="0.25"/>
  <cols>
    <col min="1" max="1" width="2" style="5" customWidth="1"/>
    <col min="2" max="2" width="14.69921875" style="11" customWidth="1"/>
    <col min="3" max="3" width="14.69921875" style="12" customWidth="1"/>
    <col min="4" max="5" width="14.69921875" style="11" customWidth="1"/>
    <col min="6" max="7" width="9.09765625" style="5"/>
    <col min="8" max="8" width="19" style="5" customWidth="1"/>
    <col min="9" max="9" width="12.09765625" style="5" bestFit="1" customWidth="1"/>
    <col min="10" max="18" width="10.59765625" style="5" customWidth="1"/>
    <col min="19" max="19" width="8.59765625" style="5" bestFit="1" customWidth="1"/>
    <col min="20" max="21" width="9.296875" style="5" bestFit="1" customWidth="1"/>
    <col min="22" max="22" width="10.296875" style="5" bestFit="1" customWidth="1"/>
    <col min="23" max="23" width="11.09765625" style="5" bestFit="1" customWidth="1"/>
    <col min="24" max="24" width="11.3984375" style="5" bestFit="1" customWidth="1"/>
    <col min="25" max="26" width="12.296875" style="5" bestFit="1" customWidth="1"/>
    <col min="27" max="27" width="12.69921875" style="5" bestFit="1" customWidth="1"/>
    <col min="28" max="28" width="13.3984375" style="5" bestFit="1" customWidth="1"/>
    <col min="29" max="29" width="14.59765625" style="5" bestFit="1" customWidth="1"/>
    <col min="30" max="16384" width="9.09765625" style="5"/>
  </cols>
  <sheetData>
    <row r="1" spans="2:29" x14ac:dyDescent="0.25">
      <c r="B1" s="5"/>
      <c r="C1" s="5"/>
      <c r="D1" s="5"/>
      <c r="E1" s="5"/>
    </row>
    <row r="2" spans="2:29" ht="25.2" x14ac:dyDescent="0.4">
      <c r="B2" s="43" t="s">
        <v>0</v>
      </c>
      <c r="C2" s="44"/>
      <c r="D2" s="45"/>
      <c r="E2" s="114">
        <v>0.11</v>
      </c>
      <c r="I2" s="40"/>
      <c r="J2" s="40"/>
      <c r="K2" s="128" t="s">
        <v>47</v>
      </c>
      <c r="L2" s="128"/>
      <c r="M2" s="128" t="s">
        <v>48</v>
      </c>
      <c r="N2" s="128"/>
      <c r="O2" s="128" t="s">
        <v>49</v>
      </c>
      <c r="P2" s="128"/>
      <c r="Q2" s="128"/>
      <c r="R2" s="40"/>
      <c r="S2" s="40"/>
      <c r="T2" s="40"/>
      <c r="U2" s="40"/>
      <c r="V2" s="40"/>
      <c r="W2" s="40"/>
      <c r="X2" s="40"/>
      <c r="Y2" s="40"/>
    </row>
    <row r="3" spans="2:29" ht="16.8" x14ac:dyDescent="0.3">
      <c r="B3" s="43" t="s">
        <v>1</v>
      </c>
      <c r="C3" s="44"/>
      <c r="D3" s="45"/>
      <c r="E3" s="115">
        <f>E2</f>
        <v>0.11</v>
      </c>
      <c r="H3" s="27"/>
      <c r="I3" s="20"/>
      <c r="J3" s="20"/>
      <c r="K3" s="125">
        <f>SUM(GBPJPY!C13:C37)</f>
        <v>12.759243790619122</v>
      </c>
      <c r="L3" s="125"/>
      <c r="M3" s="126">
        <f>K3*91</f>
        <v>1161.09118494634</v>
      </c>
      <c r="N3" s="126"/>
      <c r="O3" s="127">
        <f>M3+GBPJPY!D35</f>
        <v>1339.9022866437358</v>
      </c>
      <c r="P3" s="127"/>
      <c r="Q3" s="127"/>
      <c r="R3" s="110">
        <f>O3*2</f>
        <v>2679.8045732874716</v>
      </c>
      <c r="S3" s="20"/>
      <c r="T3" s="20"/>
      <c r="U3" s="20"/>
      <c r="V3" s="20"/>
      <c r="W3" s="20"/>
      <c r="X3" s="20"/>
      <c r="Y3" s="20"/>
    </row>
    <row r="4" spans="2:29" ht="18.600000000000001" x14ac:dyDescent="0.3">
      <c r="B4" s="43" t="s">
        <v>2</v>
      </c>
      <c r="C4" s="44"/>
      <c r="D4" s="45"/>
      <c r="E4" s="115">
        <f>E3</f>
        <v>0.11</v>
      </c>
      <c r="H4" s="28" t="s">
        <v>12</v>
      </c>
      <c r="I4" s="52">
        <f>E9</f>
        <v>1.3819999999999999</v>
      </c>
      <c r="J4" s="1">
        <v>1.3819999999999999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9" ht="18.600000000000001" x14ac:dyDescent="0.3">
      <c r="B5" s="43" t="s">
        <v>3</v>
      </c>
      <c r="C5" s="44"/>
      <c r="D5" s="45"/>
      <c r="E5" s="115">
        <f>E4</f>
        <v>0.11</v>
      </c>
      <c r="H5" s="28" t="s">
        <v>53</v>
      </c>
      <c r="I5" s="52">
        <v>0.11</v>
      </c>
      <c r="J5" s="2">
        <v>1.6180000000000001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9" ht="18.600000000000001" x14ac:dyDescent="0.3">
      <c r="B6" s="43" t="s">
        <v>4</v>
      </c>
      <c r="C6" s="44"/>
      <c r="D6" s="45"/>
      <c r="E6" s="115">
        <f>E5</f>
        <v>0.11</v>
      </c>
      <c r="H6" s="28" t="s">
        <v>71</v>
      </c>
      <c r="I6" s="52">
        <f>I5*3</f>
        <v>0.33</v>
      </c>
      <c r="J6" s="2">
        <v>2.6179999999999999</v>
      </c>
      <c r="O6" s="2"/>
    </row>
    <row r="7" spans="2:29" ht="16.8" x14ac:dyDescent="0.3">
      <c r="B7" s="43" t="s">
        <v>5</v>
      </c>
      <c r="C7" s="44"/>
      <c r="D7" s="45"/>
      <c r="E7" s="115">
        <f>E6</f>
        <v>0.11</v>
      </c>
      <c r="H7" s="1"/>
      <c r="I7" s="1"/>
      <c r="J7" s="38">
        <v>2200</v>
      </c>
      <c r="K7" s="38">
        <f>J7-I$5</f>
        <v>2199.89</v>
      </c>
      <c r="L7" s="38">
        <f t="shared" ref="L7:AC7" si="0">K7-$I$5</f>
        <v>2199.7799999999997</v>
      </c>
      <c r="M7" s="38">
        <f t="shared" si="0"/>
        <v>2199.6699999999996</v>
      </c>
      <c r="N7" s="38">
        <f t="shared" si="0"/>
        <v>2199.5599999999995</v>
      </c>
      <c r="O7" s="38">
        <f t="shared" si="0"/>
        <v>2199.4499999999994</v>
      </c>
      <c r="P7" s="38">
        <f t="shared" si="0"/>
        <v>2199.3399999999992</v>
      </c>
      <c r="Q7" s="38">
        <f t="shared" si="0"/>
        <v>2199.2299999999991</v>
      </c>
      <c r="R7" s="38">
        <f t="shared" si="0"/>
        <v>2199.119999999999</v>
      </c>
      <c r="S7" s="38">
        <f t="shared" si="0"/>
        <v>2199.0099999999989</v>
      </c>
      <c r="T7" s="38">
        <f t="shared" si="0"/>
        <v>2198.8999999999987</v>
      </c>
      <c r="U7" s="38">
        <f t="shared" si="0"/>
        <v>2198.7899999999986</v>
      </c>
      <c r="V7" s="38">
        <f t="shared" si="0"/>
        <v>2198.6799999999985</v>
      </c>
      <c r="W7" s="38">
        <f t="shared" si="0"/>
        <v>2198.5699999999983</v>
      </c>
      <c r="X7" s="38">
        <f t="shared" si="0"/>
        <v>2198.4599999999982</v>
      </c>
      <c r="Y7" s="38">
        <f t="shared" si="0"/>
        <v>2198.3499999999981</v>
      </c>
      <c r="Z7" s="38">
        <f t="shared" si="0"/>
        <v>2198.239999999998</v>
      </c>
      <c r="AA7" s="38">
        <f t="shared" si="0"/>
        <v>2198.1299999999978</v>
      </c>
      <c r="AB7" s="38">
        <f t="shared" si="0"/>
        <v>2198.0199999999977</v>
      </c>
      <c r="AC7" s="38">
        <f t="shared" si="0"/>
        <v>2197.9099999999976</v>
      </c>
    </row>
    <row r="8" spans="2:29" ht="16.8" x14ac:dyDescent="0.3">
      <c r="B8" s="43" t="s">
        <v>72</v>
      </c>
      <c r="C8" s="44"/>
      <c r="D8" s="45"/>
      <c r="E8" s="112">
        <v>0.01</v>
      </c>
      <c r="H8" s="1"/>
      <c r="I8" s="1"/>
      <c r="J8" s="38">
        <v>0</v>
      </c>
      <c r="K8" s="38">
        <f t="shared" ref="K8:AC8" si="1">$J$7-K7</f>
        <v>0.11000000000012733</v>
      </c>
      <c r="L8" s="38">
        <f t="shared" si="1"/>
        <v>0.22000000000025466</v>
      </c>
      <c r="M8" s="38">
        <f t="shared" si="1"/>
        <v>0.33000000000038199</v>
      </c>
      <c r="N8" s="38">
        <f t="shared" si="1"/>
        <v>0.44000000000050932</v>
      </c>
      <c r="O8" s="38">
        <f t="shared" si="1"/>
        <v>0.55000000000063665</v>
      </c>
      <c r="P8" s="38">
        <f t="shared" si="1"/>
        <v>0.66000000000076398</v>
      </c>
      <c r="Q8" s="38">
        <f t="shared" si="1"/>
        <v>0.7700000000008913</v>
      </c>
      <c r="R8" s="38">
        <f t="shared" si="1"/>
        <v>0.88000000000101863</v>
      </c>
      <c r="S8" s="38">
        <f t="shared" si="1"/>
        <v>0.99000000000114596</v>
      </c>
      <c r="T8" s="38">
        <f t="shared" si="1"/>
        <v>1.1000000000012733</v>
      </c>
      <c r="U8" s="38">
        <f t="shared" si="1"/>
        <v>1.2100000000014006</v>
      </c>
      <c r="V8" s="38">
        <f t="shared" si="1"/>
        <v>1.320000000001528</v>
      </c>
      <c r="W8" s="38">
        <f t="shared" si="1"/>
        <v>1.4300000000016553</v>
      </c>
      <c r="X8" s="38">
        <f t="shared" si="1"/>
        <v>1.5400000000017826</v>
      </c>
      <c r="Y8" s="38">
        <f t="shared" si="1"/>
        <v>1.6500000000019099</v>
      </c>
      <c r="Z8" s="38">
        <f t="shared" si="1"/>
        <v>1.7600000000020373</v>
      </c>
      <c r="AA8" s="38">
        <f t="shared" si="1"/>
        <v>1.8700000000021646</v>
      </c>
      <c r="AB8" s="38">
        <f t="shared" si="1"/>
        <v>1.9800000000022919</v>
      </c>
      <c r="AC8" s="38">
        <f t="shared" si="1"/>
        <v>2.0900000000024193</v>
      </c>
    </row>
    <row r="9" spans="2:29" ht="16.8" x14ac:dyDescent="0.3">
      <c r="B9" s="43" t="s">
        <v>6</v>
      </c>
      <c r="C9" s="44"/>
      <c r="D9" s="45"/>
      <c r="E9" s="111">
        <v>1.3819999999999999</v>
      </c>
      <c r="H9" s="29" t="s">
        <v>14</v>
      </c>
      <c r="I9" s="29" t="s">
        <v>52</v>
      </c>
      <c r="J9" s="29" t="s">
        <v>15</v>
      </c>
      <c r="K9" s="29" t="s">
        <v>16</v>
      </c>
      <c r="L9" s="29" t="s">
        <v>17</v>
      </c>
      <c r="M9" s="29" t="s">
        <v>18</v>
      </c>
      <c r="N9" s="29" t="s">
        <v>19</v>
      </c>
      <c r="O9" s="29" t="s">
        <v>20</v>
      </c>
      <c r="P9" s="29" t="s">
        <v>21</v>
      </c>
      <c r="Q9" s="29" t="s">
        <v>22</v>
      </c>
      <c r="R9" s="29" t="s">
        <v>23</v>
      </c>
      <c r="S9" s="29" t="s">
        <v>24</v>
      </c>
      <c r="T9" s="29" t="s">
        <v>25</v>
      </c>
      <c r="U9" s="29" t="s">
        <v>26</v>
      </c>
      <c r="V9" s="29" t="s">
        <v>27</v>
      </c>
      <c r="W9" s="29" t="s">
        <v>28</v>
      </c>
      <c r="X9" s="29" t="s">
        <v>29</v>
      </c>
      <c r="Y9" s="29" t="s">
        <v>30</v>
      </c>
      <c r="Z9" s="29" t="s">
        <v>74</v>
      </c>
      <c r="AA9" s="29" t="s">
        <v>75</v>
      </c>
      <c r="AB9" s="29" t="s">
        <v>76</v>
      </c>
      <c r="AC9" s="29" t="s">
        <v>77</v>
      </c>
    </row>
    <row r="10" spans="2:29" ht="18.600000000000001" x14ac:dyDescent="0.3">
      <c r="B10" s="43" t="s">
        <v>73</v>
      </c>
      <c r="C10" s="44"/>
      <c r="D10" s="45"/>
      <c r="E10" s="55">
        <v>17</v>
      </c>
      <c r="H10" s="33" t="s">
        <v>51</v>
      </c>
      <c r="I10" s="53"/>
      <c r="J10" s="29">
        <v>1</v>
      </c>
      <c r="K10" s="29">
        <v>2</v>
      </c>
      <c r="L10" s="29">
        <v>3</v>
      </c>
      <c r="M10" s="29">
        <v>4</v>
      </c>
      <c r="N10" s="29">
        <v>5</v>
      </c>
      <c r="O10" s="29">
        <v>6</v>
      </c>
      <c r="P10" s="29">
        <v>7</v>
      </c>
      <c r="Q10" s="29">
        <v>8</v>
      </c>
      <c r="R10" s="29">
        <v>9</v>
      </c>
      <c r="S10" s="29">
        <v>10</v>
      </c>
      <c r="T10" s="29">
        <v>11</v>
      </c>
      <c r="U10" s="29">
        <v>12</v>
      </c>
      <c r="V10" s="29">
        <v>13</v>
      </c>
      <c r="W10" s="29">
        <v>14</v>
      </c>
      <c r="X10" s="29">
        <v>15</v>
      </c>
      <c r="Y10" s="29">
        <v>16</v>
      </c>
      <c r="Z10" s="29">
        <v>17</v>
      </c>
      <c r="AA10" s="29">
        <v>18</v>
      </c>
      <c r="AB10" s="29">
        <v>19</v>
      </c>
      <c r="AC10" s="29">
        <v>20</v>
      </c>
    </row>
    <row r="11" spans="2:29" ht="17.399999999999999" thickBot="1" x14ac:dyDescent="0.35">
      <c r="B11" s="6"/>
      <c r="C11" s="7"/>
      <c r="D11" s="6"/>
      <c r="E11" s="6"/>
      <c r="H11" s="34">
        <v>1</v>
      </c>
      <c r="I11" s="35">
        <f>GBPJPY!C13</f>
        <v>0.01</v>
      </c>
      <c r="J11" s="116">
        <f>I11*I6*100</f>
        <v>0.33</v>
      </c>
      <c r="K11" s="116">
        <f>I11*100*(I6-I5)</f>
        <v>0.22000000000000003</v>
      </c>
      <c r="L11" s="116">
        <f t="shared" ref="L11:AC11" si="2">$I$11*100*($I$6-$I$5*K10)</f>
        <v>0.11000000000000001</v>
      </c>
      <c r="M11" s="116">
        <f t="shared" si="2"/>
        <v>0</v>
      </c>
      <c r="N11" s="116">
        <f>$I$11*100*($I$6-$I$5*M10)</f>
        <v>-0.10999999999999999</v>
      </c>
      <c r="O11" s="116">
        <f t="shared" si="2"/>
        <v>-0.22000000000000003</v>
      </c>
      <c r="P11" s="116">
        <f t="shared" si="2"/>
        <v>-0.33</v>
      </c>
      <c r="Q11" s="116">
        <f t="shared" si="2"/>
        <v>-0.44</v>
      </c>
      <c r="R11" s="116">
        <f t="shared" si="2"/>
        <v>-0.55000000000000004</v>
      </c>
      <c r="S11" s="116">
        <f t="shared" si="2"/>
        <v>-0.65999999999999992</v>
      </c>
      <c r="T11" s="116">
        <f t="shared" si="2"/>
        <v>-0.77</v>
      </c>
      <c r="U11" s="116">
        <f t="shared" si="2"/>
        <v>-0.87999999999999989</v>
      </c>
      <c r="V11" s="116">
        <f t="shared" si="2"/>
        <v>-0.99</v>
      </c>
      <c r="W11" s="116">
        <f t="shared" si="2"/>
        <v>-1.0999999999999999</v>
      </c>
      <c r="X11" s="116">
        <f t="shared" si="2"/>
        <v>-1.21</v>
      </c>
      <c r="Y11" s="116">
        <f t="shared" si="2"/>
        <v>-1.3199999999999998</v>
      </c>
      <c r="Z11" s="116">
        <f t="shared" si="2"/>
        <v>-1.43</v>
      </c>
      <c r="AA11" s="116">
        <f t="shared" si="2"/>
        <v>-1.54</v>
      </c>
      <c r="AB11" s="116">
        <f t="shared" si="2"/>
        <v>-1.65</v>
      </c>
      <c r="AC11" s="116">
        <f t="shared" si="2"/>
        <v>-1.7599999999999998</v>
      </c>
    </row>
    <row r="12" spans="2:29" ht="18" thickTop="1" thickBot="1" x14ac:dyDescent="0.3">
      <c r="B12" s="21" t="s">
        <v>7</v>
      </c>
      <c r="C12" s="22" t="s">
        <v>8</v>
      </c>
      <c r="D12" s="23" t="s">
        <v>9</v>
      </c>
      <c r="E12" s="23" t="s">
        <v>10</v>
      </c>
      <c r="H12" s="34">
        <v>2</v>
      </c>
      <c r="I12" s="30">
        <f t="shared" ref="I12:I30" si="3">I11*$I$4</f>
        <v>1.3819999999999999E-2</v>
      </c>
      <c r="J12" s="117"/>
      <c r="K12" s="116">
        <f>I12*100*I6</f>
        <v>0.45605999999999997</v>
      </c>
      <c r="L12" s="116">
        <f>I12*100*(I6-I5)</f>
        <v>0.30404000000000003</v>
      </c>
      <c r="M12" s="116">
        <f t="shared" ref="M12:AC12" si="4">$I$12*100*($I$6-$I$5*K10)</f>
        <v>0.15202000000000002</v>
      </c>
      <c r="N12" s="116">
        <f t="shared" si="4"/>
        <v>0</v>
      </c>
      <c r="O12" s="116">
        <f t="shared" si="4"/>
        <v>-0.15201999999999996</v>
      </c>
      <c r="P12" s="116">
        <f t="shared" si="4"/>
        <v>-0.30404000000000003</v>
      </c>
      <c r="Q12" s="116">
        <f t="shared" si="4"/>
        <v>-0.45605999999999997</v>
      </c>
      <c r="R12" s="116">
        <f t="shared" si="4"/>
        <v>-0.60807999999999995</v>
      </c>
      <c r="S12" s="116">
        <f t="shared" si="4"/>
        <v>-0.7601</v>
      </c>
      <c r="T12" s="116">
        <f t="shared" si="4"/>
        <v>-0.91211999999999982</v>
      </c>
      <c r="U12" s="116">
        <f t="shared" si="4"/>
        <v>-1.0641399999999999</v>
      </c>
      <c r="V12" s="116">
        <f t="shared" si="4"/>
        <v>-1.2161599999999997</v>
      </c>
      <c r="W12" s="116">
        <f t="shared" si="4"/>
        <v>-1.36818</v>
      </c>
      <c r="X12" s="116">
        <f t="shared" si="4"/>
        <v>-1.5201999999999998</v>
      </c>
      <c r="Y12" s="116">
        <f t="shared" si="4"/>
        <v>-1.6722199999999998</v>
      </c>
      <c r="Z12" s="116">
        <f t="shared" si="4"/>
        <v>-1.8242399999999996</v>
      </c>
      <c r="AA12" s="116">
        <f t="shared" si="4"/>
        <v>-1.9762599999999997</v>
      </c>
      <c r="AB12" s="116">
        <f t="shared" si="4"/>
        <v>-2.1282799999999997</v>
      </c>
      <c r="AC12" s="116">
        <f t="shared" si="4"/>
        <v>-2.2802999999999995</v>
      </c>
    </row>
    <row r="13" spans="2:29" ht="17.399999999999999" thickTop="1" x14ac:dyDescent="0.3">
      <c r="B13" s="24" t="str">
        <f>IF($E$10&gt;0,"L1",0)</f>
        <v>L1</v>
      </c>
      <c r="C13" s="8">
        <f>+E8</f>
        <v>0.01</v>
      </c>
      <c r="D13" s="9">
        <f>+C13*E13*100</f>
        <v>1.76</v>
      </c>
      <c r="E13" s="113">
        <f>IF(B13=0,0,$E$2+$E$3+$E$4+$E$5+$E$6+($E$7*($E$10-6)))</f>
        <v>1.76</v>
      </c>
      <c r="H13" s="34">
        <v>3</v>
      </c>
      <c r="I13" s="30">
        <f t="shared" si="3"/>
        <v>1.9099239999999996E-2</v>
      </c>
      <c r="J13" s="117"/>
      <c r="K13" s="117"/>
      <c r="L13" s="116">
        <f>I13*100*I6</f>
        <v>0.63027491999999996</v>
      </c>
      <c r="M13" s="116">
        <f>I13*100*(I6-I5)</f>
        <v>0.42018327999999999</v>
      </c>
      <c r="N13" s="116">
        <f t="shared" ref="N13:AC13" si="5">$I$13*100*($I$6-$I$5*K10)</f>
        <v>0.21009164</v>
      </c>
      <c r="O13" s="116">
        <f t="shared" si="5"/>
        <v>0</v>
      </c>
      <c r="P13" s="116">
        <f t="shared" si="5"/>
        <v>-0.21009163999999994</v>
      </c>
      <c r="Q13" s="116">
        <f t="shared" si="5"/>
        <v>-0.42018327999999999</v>
      </c>
      <c r="R13" s="116">
        <f t="shared" si="5"/>
        <v>-0.63027491999999996</v>
      </c>
      <c r="S13" s="116">
        <f t="shared" si="5"/>
        <v>-0.84036655999999987</v>
      </c>
      <c r="T13" s="116">
        <f t="shared" si="5"/>
        <v>-1.0504582</v>
      </c>
      <c r="U13" s="116">
        <f t="shared" si="5"/>
        <v>-1.2605498399999997</v>
      </c>
      <c r="V13" s="116">
        <f t="shared" si="5"/>
        <v>-1.4706414799999998</v>
      </c>
      <c r="W13" s="116">
        <f t="shared" si="5"/>
        <v>-1.6807331199999995</v>
      </c>
      <c r="X13" s="116">
        <f t="shared" si="5"/>
        <v>-1.8908247599999997</v>
      </c>
      <c r="Y13" s="116">
        <f t="shared" si="5"/>
        <v>-2.1009163999999996</v>
      </c>
      <c r="Z13" s="116">
        <f t="shared" si="5"/>
        <v>-2.3110080399999995</v>
      </c>
      <c r="AA13" s="116">
        <f t="shared" si="5"/>
        <v>-2.5210996799999994</v>
      </c>
      <c r="AB13" s="116">
        <f t="shared" si="5"/>
        <v>-2.7311913199999993</v>
      </c>
      <c r="AC13" s="116">
        <f t="shared" si="5"/>
        <v>-2.9412829599999997</v>
      </c>
    </row>
    <row r="14" spans="2:29" ht="16.8" x14ac:dyDescent="0.3">
      <c r="B14" s="24" t="str">
        <f t="shared" ref="B14:B34" si="6">IF(B13=0,0,IF(VALUE(MID(B13,2,2))&gt;=$E$10,0,"L"&amp;VALUE(MID(B13,2,2))+1))</f>
        <v>L2</v>
      </c>
      <c r="C14" s="10">
        <f t="shared" ref="C14:C34" si="7">IF(B14&lt;&gt;0,C13*$E$9,0)</f>
        <v>1.3819999999999999E-2</v>
      </c>
      <c r="D14" s="9">
        <f t="shared" ref="D14:D34" si="8">+C14*E14*100</f>
        <v>2.2802999999999995</v>
      </c>
      <c r="E14" s="113">
        <f>IF(B14=0,0,$E$3+$E$4+$E$5+$E$6+($E$7*($E$10-6)))</f>
        <v>1.65</v>
      </c>
      <c r="H14" s="34">
        <v>4</v>
      </c>
      <c r="I14" s="30">
        <f t="shared" si="3"/>
        <v>2.6395149679999994E-2</v>
      </c>
      <c r="J14" s="117"/>
      <c r="K14" s="117"/>
      <c r="L14" s="117"/>
      <c r="M14" s="116">
        <f>I14*100*I6</f>
        <v>0.8710399394399998</v>
      </c>
      <c r="N14" s="116">
        <f>I14*100*(I6-I5)</f>
        <v>0.58069329295999994</v>
      </c>
      <c r="O14" s="116">
        <f t="shared" ref="O14:AC14" si="9">$I$14*100*($I$6-$I$5*K10)</f>
        <v>0.29034664647999997</v>
      </c>
      <c r="P14" s="116">
        <f t="shared" si="9"/>
        <v>0</v>
      </c>
      <c r="Q14" s="116">
        <f t="shared" si="9"/>
        <v>-0.29034664647999991</v>
      </c>
      <c r="R14" s="116">
        <f t="shared" si="9"/>
        <v>-0.58069329295999994</v>
      </c>
      <c r="S14" s="116">
        <f t="shared" si="9"/>
        <v>-0.8710399394399998</v>
      </c>
      <c r="T14" s="116">
        <f t="shared" si="9"/>
        <v>-1.1613865859199997</v>
      </c>
      <c r="U14" s="116">
        <f t="shared" si="9"/>
        <v>-1.4517332323999999</v>
      </c>
      <c r="V14" s="116">
        <f t="shared" si="9"/>
        <v>-1.7420798788799994</v>
      </c>
      <c r="W14" s="116">
        <f t="shared" si="9"/>
        <v>-2.0324265253599996</v>
      </c>
      <c r="X14" s="116">
        <f t="shared" si="9"/>
        <v>-2.3227731718399993</v>
      </c>
      <c r="Y14" s="116">
        <f t="shared" si="9"/>
        <v>-2.6131198183199995</v>
      </c>
      <c r="Z14" s="116">
        <f t="shared" si="9"/>
        <v>-2.9034664647999988</v>
      </c>
      <c r="AA14" s="116">
        <f t="shared" si="9"/>
        <v>-3.193813111279999</v>
      </c>
      <c r="AB14" s="116">
        <f t="shared" si="9"/>
        <v>-3.4841597577599988</v>
      </c>
      <c r="AC14" s="116">
        <f t="shared" si="9"/>
        <v>-3.7745064042399989</v>
      </c>
    </row>
    <row r="15" spans="2:29" ht="16.8" x14ac:dyDescent="0.3">
      <c r="B15" s="24" t="str">
        <f t="shared" si="6"/>
        <v>L3</v>
      </c>
      <c r="C15" s="10">
        <f t="shared" si="7"/>
        <v>1.9099239999999996E-2</v>
      </c>
      <c r="D15" s="9">
        <f t="shared" si="8"/>
        <v>2.9412829599999997</v>
      </c>
      <c r="E15" s="113">
        <f>IF(B15=0,0,$E$4+$E$5+$E$6+($E$7*($E$10-6)))</f>
        <v>1.54</v>
      </c>
      <c r="H15" s="34">
        <v>5</v>
      </c>
      <c r="I15" s="30">
        <f t="shared" si="3"/>
        <v>3.647809685775999E-2</v>
      </c>
      <c r="J15" s="117"/>
      <c r="K15" s="117"/>
      <c r="L15" s="117"/>
      <c r="M15" s="117"/>
      <c r="N15" s="116">
        <f>I15*I6*100</f>
        <v>1.2037771963060797</v>
      </c>
      <c r="O15" s="116">
        <f>I15*100*(I6-I5)</f>
        <v>0.80251813087071988</v>
      </c>
      <c r="P15" s="116">
        <f t="shared" ref="P15:AC15" si="10">$I$15*100*($I$6-$I$5*K10)</f>
        <v>0.40125906543535994</v>
      </c>
      <c r="Q15" s="116">
        <f t="shared" si="10"/>
        <v>0</v>
      </c>
      <c r="R15" s="116">
        <f t="shared" si="10"/>
        <v>-0.40125906543535989</v>
      </c>
      <c r="S15" s="116">
        <f t="shared" si="10"/>
        <v>-0.80251813087071988</v>
      </c>
      <c r="T15" s="116">
        <f t="shared" si="10"/>
        <v>-1.2037771963060797</v>
      </c>
      <c r="U15" s="116">
        <f t="shared" si="10"/>
        <v>-1.6050362617414395</v>
      </c>
      <c r="V15" s="116">
        <f t="shared" si="10"/>
        <v>-2.0062953271767996</v>
      </c>
      <c r="W15" s="116">
        <f t="shared" si="10"/>
        <v>-2.407554392612159</v>
      </c>
      <c r="X15" s="116">
        <f t="shared" si="10"/>
        <v>-2.8088134580475193</v>
      </c>
      <c r="Y15" s="116">
        <f t="shared" si="10"/>
        <v>-3.2100725234828791</v>
      </c>
      <c r="Z15" s="116">
        <f t="shared" si="10"/>
        <v>-3.6113315889182394</v>
      </c>
      <c r="AA15" s="116">
        <f t="shared" si="10"/>
        <v>-4.0125906543535983</v>
      </c>
      <c r="AB15" s="116">
        <f t="shared" si="10"/>
        <v>-4.413849719788959</v>
      </c>
      <c r="AC15" s="116">
        <f t="shared" si="10"/>
        <v>-4.815108785224318</v>
      </c>
    </row>
    <row r="16" spans="2:29" ht="16.8" x14ac:dyDescent="0.3">
      <c r="B16" s="24" t="str">
        <f t="shared" si="6"/>
        <v>L4</v>
      </c>
      <c r="C16" s="10">
        <f t="shared" si="7"/>
        <v>2.6395149679999994E-2</v>
      </c>
      <c r="D16" s="9">
        <f t="shared" si="8"/>
        <v>3.7745064042399989</v>
      </c>
      <c r="E16" s="113">
        <f>IF(B16=0,0,$E$5+$E$6+($E$7*($E$10-6)))</f>
        <v>1.43</v>
      </c>
      <c r="H16" s="34">
        <v>6</v>
      </c>
      <c r="I16" s="30">
        <f t="shared" si="3"/>
        <v>5.0412729857424302E-2</v>
      </c>
      <c r="J16" s="117"/>
      <c r="K16" s="117"/>
      <c r="L16" s="117"/>
      <c r="M16" s="117"/>
      <c r="N16" s="117"/>
      <c r="O16" s="116">
        <f>I16*I6*100</f>
        <v>1.663620085295002</v>
      </c>
      <c r="P16" s="116">
        <f>I16*100*(I6-I5)</f>
        <v>1.1090800568633348</v>
      </c>
      <c r="Q16" s="116">
        <f t="shared" ref="Q16:AC16" si="11">$I$16*100*($I$6-$I$5*K10)</f>
        <v>0.55454002843166739</v>
      </c>
      <c r="R16" s="116">
        <f t="shared" si="11"/>
        <v>0</v>
      </c>
      <c r="S16" s="116">
        <f t="shared" si="11"/>
        <v>-0.55454002843166728</v>
      </c>
      <c r="T16" s="116">
        <f t="shared" si="11"/>
        <v>-1.1090800568633348</v>
      </c>
      <c r="U16" s="116">
        <f t="shared" si="11"/>
        <v>-1.663620085295002</v>
      </c>
      <c r="V16" s="116">
        <f t="shared" si="11"/>
        <v>-2.2181601137266691</v>
      </c>
      <c r="W16" s="116">
        <f t="shared" si="11"/>
        <v>-2.7727001421583366</v>
      </c>
      <c r="X16" s="116">
        <f t="shared" si="11"/>
        <v>-3.3272401705900037</v>
      </c>
      <c r="Y16" s="116">
        <f t="shared" si="11"/>
        <v>-3.8817801990216712</v>
      </c>
      <c r="Z16" s="116">
        <f t="shared" si="11"/>
        <v>-4.4363202274533382</v>
      </c>
      <c r="AA16" s="116">
        <f t="shared" si="11"/>
        <v>-4.9908602558850061</v>
      </c>
      <c r="AB16" s="116">
        <f t="shared" si="11"/>
        <v>-5.5454002843166723</v>
      </c>
      <c r="AC16" s="116">
        <f t="shared" si="11"/>
        <v>-6.0999403127483403</v>
      </c>
    </row>
    <row r="17" spans="2:29" ht="16.8" x14ac:dyDescent="0.3">
      <c r="B17" s="24" t="str">
        <f t="shared" si="6"/>
        <v>L5</v>
      </c>
      <c r="C17" s="10">
        <f t="shared" si="7"/>
        <v>3.647809685775999E-2</v>
      </c>
      <c r="D17" s="9">
        <f t="shared" si="8"/>
        <v>4.8151087852243188</v>
      </c>
      <c r="E17" s="113">
        <f>IF(B17=0,0,$E$6+($E$7*($E$10-6)))</f>
        <v>1.32</v>
      </c>
      <c r="H17" s="34">
        <v>7</v>
      </c>
      <c r="I17" s="30">
        <f t="shared" si="3"/>
        <v>6.9670392662960379E-2</v>
      </c>
      <c r="J17" s="117"/>
      <c r="K17" s="117"/>
      <c r="L17" s="117"/>
      <c r="M17" s="117"/>
      <c r="N17" s="117"/>
      <c r="O17" s="117"/>
      <c r="P17" s="116">
        <f>I6*I17*100</f>
        <v>2.2991229578776928</v>
      </c>
      <c r="Q17" s="116">
        <f>I17*100*(I6-I5)</f>
        <v>1.5327486385851283</v>
      </c>
      <c r="R17" s="116">
        <f t="shared" ref="R17:AC17" si="12">$I$17*100*($I$6-$I$5*K10)</f>
        <v>0.76637431929256417</v>
      </c>
      <c r="S17" s="116">
        <f t="shared" si="12"/>
        <v>0</v>
      </c>
      <c r="T17" s="116">
        <f t="shared" si="12"/>
        <v>-0.76637431929256405</v>
      </c>
      <c r="U17" s="116">
        <f t="shared" si="12"/>
        <v>-1.5327486385851283</v>
      </c>
      <c r="V17" s="116">
        <f t="shared" si="12"/>
        <v>-2.2991229578776924</v>
      </c>
      <c r="W17" s="116">
        <f t="shared" si="12"/>
        <v>-3.0654972771702567</v>
      </c>
      <c r="X17" s="116">
        <f t="shared" si="12"/>
        <v>-3.8318715964628209</v>
      </c>
      <c r="Y17" s="116">
        <f t="shared" si="12"/>
        <v>-4.5982459157553839</v>
      </c>
      <c r="Z17" s="116">
        <f t="shared" si="12"/>
        <v>-5.3646202350479486</v>
      </c>
      <c r="AA17" s="116">
        <f t="shared" si="12"/>
        <v>-6.1309945543405124</v>
      </c>
      <c r="AB17" s="116">
        <f t="shared" si="12"/>
        <v>-6.8973688736330772</v>
      </c>
      <c r="AC17" s="116">
        <f t="shared" si="12"/>
        <v>-7.6637431929256401</v>
      </c>
    </row>
    <row r="18" spans="2:29" ht="16.8" x14ac:dyDescent="0.3">
      <c r="B18" s="24" t="str">
        <f t="shared" si="6"/>
        <v>L6</v>
      </c>
      <c r="C18" s="10">
        <f t="shared" si="7"/>
        <v>5.0412729857424302E-2</v>
      </c>
      <c r="D18" s="9">
        <f t="shared" si="8"/>
        <v>6.0999403127483403</v>
      </c>
      <c r="E18" s="113">
        <f>IF(B18=0,0,($E$7*($E$10-6)))</f>
        <v>1.21</v>
      </c>
      <c r="H18" s="34">
        <v>8</v>
      </c>
      <c r="I18" s="30">
        <f t="shared" si="3"/>
        <v>9.6284482660211237E-2</v>
      </c>
      <c r="J18" s="117"/>
      <c r="K18" s="117"/>
      <c r="L18" s="117"/>
      <c r="M18" s="117"/>
      <c r="N18" s="117"/>
      <c r="O18" s="117"/>
      <c r="P18" s="117"/>
      <c r="Q18" s="116">
        <f>I6*I18*100</f>
        <v>3.1773879277869712</v>
      </c>
      <c r="R18" s="116">
        <f>I18*100*(I6-I5)</f>
        <v>2.1182586185246475</v>
      </c>
      <c r="S18" s="116">
        <f t="shared" ref="S18:AC18" si="13">$I$18*100*($I$6-$I$5*K10)</f>
        <v>1.0591293092623237</v>
      </c>
      <c r="T18" s="116">
        <f t="shared" si="13"/>
        <v>0</v>
      </c>
      <c r="U18" s="116">
        <f t="shared" si="13"/>
        <v>-1.0591293092623235</v>
      </c>
      <c r="V18" s="116">
        <f t="shared" si="13"/>
        <v>-2.1182586185246475</v>
      </c>
      <c r="W18" s="116">
        <f t="shared" si="13"/>
        <v>-3.1773879277869712</v>
      </c>
      <c r="X18" s="116">
        <f t="shared" si="13"/>
        <v>-4.2365172370492949</v>
      </c>
      <c r="Y18" s="116">
        <f t="shared" si="13"/>
        <v>-5.2956465463116187</v>
      </c>
      <c r="Z18" s="116">
        <f t="shared" si="13"/>
        <v>-6.3547758555739406</v>
      </c>
      <c r="AA18" s="116">
        <f t="shared" si="13"/>
        <v>-7.4139051648362653</v>
      </c>
      <c r="AB18" s="116">
        <f t="shared" si="13"/>
        <v>-8.4730344740985881</v>
      </c>
      <c r="AC18" s="116">
        <f t="shared" si="13"/>
        <v>-9.5321637833609127</v>
      </c>
    </row>
    <row r="19" spans="2:29" ht="16.8" x14ac:dyDescent="0.3">
      <c r="B19" s="24" t="str">
        <f t="shared" si="6"/>
        <v>L7</v>
      </c>
      <c r="C19" s="10">
        <f t="shared" si="7"/>
        <v>6.9670392662960379E-2</v>
      </c>
      <c r="D19" s="9">
        <f t="shared" si="8"/>
        <v>7.6637431929256428</v>
      </c>
      <c r="E19" s="113">
        <f>IF(B19=0,0,($E$7*($E$10-7)))</f>
        <v>1.1000000000000001</v>
      </c>
      <c r="H19" s="34">
        <v>9</v>
      </c>
      <c r="I19" s="30">
        <f t="shared" si="3"/>
        <v>0.13306515503641192</v>
      </c>
      <c r="J19" s="117"/>
      <c r="K19" s="117"/>
      <c r="L19" s="117"/>
      <c r="M19" s="117"/>
      <c r="N19" s="117"/>
      <c r="O19" s="117"/>
      <c r="P19" s="117"/>
      <c r="Q19" s="117"/>
      <c r="R19" s="116">
        <f>I6*I19*100</f>
        <v>4.3911501162015938</v>
      </c>
      <c r="S19" s="116">
        <f>I19*100*(I6-I5)</f>
        <v>2.9274334108010627</v>
      </c>
      <c r="T19" s="116">
        <f t="shared" ref="T19:AC19" si="14">$I$19*100*($I$6-$I$5*K10)</f>
        <v>1.4637167054005313</v>
      </c>
      <c r="U19" s="116">
        <f t="shared" si="14"/>
        <v>0</v>
      </c>
      <c r="V19" s="116">
        <f t="shared" si="14"/>
        <v>-1.4637167054005309</v>
      </c>
      <c r="W19" s="116">
        <f t="shared" si="14"/>
        <v>-2.9274334108010627</v>
      </c>
      <c r="X19" s="116">
        <f t="shared" si="14"/>
        <v>-4.3911501162015938</v>
      </c>
      <c r="Y19" s="116">
        <f t="shared" si="14"/>
        <v>-5.8548668216021245</v>
      </c>
      <c r="Z19" s="116">
        <f t="shared" si="14"/>
        <v>-7.318583527002656</v>
      </c>
      <c r="AA19" s="116">
        <f t="shared" si="14"/>
        <v>-8.7823002324031858</v>
      </c>
      <c r="AB19" s="116">
        <f t="shared" si="14"/>
        <v>-10.246016937803718</v>
      </c>
      <c r="AC19" s="116">
        <f t="shared" si="14"/>
        <v>-11.709733643204247</v>
      </c>
    </row>
    <row r="20" spans="2:29" ht="16.8" x14ac:dyDescent="0.3">
      <c r="B20" s="24" t="str">
        <f t="shared" si="6"/>
        <v>L8</v>
      </c>
      <c r="C20" s="10">
        <f t="shared" si="7"/>
        <v>9.6284482660211237E-2</v>
      </c>
      <c r="D20" s="9">
        <f t="shared" si="8"/>
        <v>9.5321637833609127</v>
      </c>
      <c r="E20" s="113">
        <f>IF(B20=0,0,($E$7*($E$10-8)))</f>
        <v>0.99</v>
      </c>
      <c r="H20" s="34">
        <v>10</v>
      </c>
      <c r="I20" s="30">
        <f t="shared" si="3"/>
        <v>0.18389604426032125</v>
      </c>
      <c r="J20" s="117"/>
      <c r="K20" s="117"/>
      <c r="L20" s="117"/>
      <c r="M20" s="117"/>
      <c r="N20" s="117"/>
      <c r="O20" s="117"/>
      <c r="P20" s="117"/>
      <c r="Q20" s="117"/>
      <c r="R20" s="117"/>
      <c r="S20" s="116">
        <f>I6*I20*100</f>
        <v>6.0685694605906013</v>
      </c>
      <c r="T20" s="116">
        <f>I20*100*(I6-I5)</f>
        <v>4.0457129737270678</v>
      </c>
      <c r="U20" s="116">
        <f>$I$20*100*($I$6-$I$5*K10)</f>
        <v>2.0228564868635339</v>
      </c>
      <c r="V20" s="116">
        <f>$I$20*100*($I$6-$I$5*L10)</f>
        <v>0</v>
      </c>
      <c r="W20" s="116">
        <f>$I$20*100*($I$6-$I$5*M10)</f>
        <v>-2.0228564868635335</v>
      </c>
      <c r="X20" s="116">
        <f>$I$20*100*($I$6-$I$5*N10)</f>
        <v>-4.0457129737270678</v>
      </c>
      <c r="Y20" s="116">
        <f>$I$20*100*($I$6-$I$5*O10)</f>
        <v>-6.0685694605906013</v>
      </c>
      <c r="Z20" s="116">
        <f t="shared" ref="Z20:AC20" si="15">$I$20*100*($I$6-$I$5*P10)</f>
        <v>-8.0914259474541357</v>
      </c>
      <c r="AA20" s="116">
        <f t="shared" si="15"/>
        <v>-10.114282434317669</v>
      </c>
      <c r="AB20" s="116">
        <f t="shared" si="15"/>
        <v>-12.137138921181201</v>
      </c>
      <c r="AC20" s="116">
        <f t="shared" si="15"/>
        <v>-14.159995408044736</v>
      </c>
    </row>
    <row r="21" spans="2:29" ht="16.8" x14ac:dyDescent="0.3">
      <c r="B21" s="24" t="str">
        <f t="shared" si="6"/>
        <v>L9</v>
      </c>
      <c r="C21" s="10">
        <f t="shared" si="7"/>
        <v>0.13306515503641192</v>
      </c>
      <c r="D21" s="9">
        <f t="shared" si="8"/>
        <v>11.709733643204249</v>
      </c>
      <c r="E21" s="113">
        <f>IF(B21=0,0,($E$7*($E$10-9)))</f>
        <v>0.88</v>
      </c>
      <c r="H21" s="34">
        <v>11</v>
      </c>
      <c r="I21" s="30">
        <f t="shared" si="3"/>
        <v>0.25414433316776397</v>
      </c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8">
        <f>I6*I21*100</f>
        <v>8.3867629945362108</v>
      </c>
      <c r="U21" s="118">
        <f>I21*100*(I6-I5)</f>
        <v>5.5911753296908078</v>
      </c>
      <c r="V21" s="118">
        <f>$I$21*100*($I$6-$I$5*K10)</f>
        <v>2.7955876648454039</v>
      </c>
      <c r="W21" s="118">
        <f>$I$21*100*($I$6-$I$5*L10)</f>
        <v>0</v>
      </c>
      <c r="X21" s="118">
        <f>$I$21*100*($I$6-$I$5*M10)</f>
        <v>-2.7955876648454034</v>
      </c>
      <c r="Y21" s="118">
        <f>$I$21*100*($I$6-$I$5*N10)</f>
        <v>-5.5911753296908078</v>
      </c>
      <c r="Z21" s="118">
        <f t="shared" ref="Z21:AC21" si="16">$I$21*100*($I$6-$I$5*O10)</f>
        <v>-8.3867629945362108</v>
      </c>
      <c r="AA21" s="118">
        <f t="shared" si="16"/>
        <v>-11.182350659381614</v>
      </c>
      <c r="AB21" s="118">
        <f t="shared" si="16"/>
        <v>-13.977938324227019</v>
      </c>
      <c r="AC21" s="118">
        <f t="shared" si="16"/>
        <v>-16.773525989072418</v>
      </c>
    </row>
    <row r="22" spans="2:29" ht="16.8" x14ac:dyDescent="0.3">
      <c r="B22" s="24" t="str">
        <f t="shared" si="6"/>
        <v>L10</v>
      </c>
      <c r="C22" s="10">
        <f t="shared" si="7"/>
        <v>0.18389604426032125</v>
      </c>
      <c r="D22" s="9">
        <f t="shared" si="8"/>
        <v>14.159995408044738</v>
      </c>
      <c r="E22" s="113">
        <f>IF(B22=0,0,($E$7*($E$10-10)))</f>
        <v>0.77</v>
      </c>
      <c r="H22" s="34">
        <v>12</v>
      </c>
      <c r="I22" s="30">
        <f t="shared" si="3"/>
        <v>0.3512274684378498</v>
      </c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8"/>
      <c r="U22" s="118">
        <f>I6*I22*100</f>
        <v>11.590506458449044</v>
      </c>
      <c r="V22" s="118">
        <f>I22*100*(I6-I5)</f>
        <v>7.7270043056326969</v>
      </c>
      <c r="W22" s="118">
        <f>$I$22*100*($I$6-$I$5*K10)</f>
        <v>3.8635021528163485</v>
      </c>
      <c r="X22" s="118">
        <f>$I$22*100*($I$6-$I$5*L10)</f>
        <v>0</v>
      </c>
      <c r="Y22" s="118">
        <f>$I$22*100*($I$6-$I$5*M10)</f>
        <v>-3.8635021528163476</v>
      </c>
      <c r="Z22" s="118">
        <f t="shared" ref="Z22:AC22" si="17">$I$22*100*($I$6-$I$5*N10)</f>
        <v>-7.7270043056326969</v>
      </c>
      <c r="AA22" s="118">
        <f t="shared" si="17"/>
        <v>-11.590506458449044</v>
      </c>
      <c r="AB22" s="118">
        <f t="shared" si="17"/>
        <v>-15.454008611265392</v>
      </c>
      <c r="AC22" s="118">
        <f t="shared" si="17"/>
        <v>-19.317510764081742</v>
      </c>
    </row>
    <row r="23" spans="2:29" ht="16.8" x14ac:dyDescent="0.3">
      <c r="B23" s="24" t="str">
        <f t="shared" si="6"/>
        <v>L11</v>
      </c>
      <c r="C23" s="10">
        <f t="shared" si="7"/>
        <v>0.25414433316776397</v>
      </c>
      <c r="D23" s="9">
        <f t="shared" si="8"/>
        <v>16.773525989072422</v>
      </c>
      <c r="E23" s="113">
        <f>IF(B23=0,0,($E$7*($E$10-11)))</f>
        <v>0.66</v>
      </c>
      <c r="H23" s="34">
        <v>13</v>
      </c>
      <c r="I23" s="30">
        <f t="shared" si="3"/>
        <v>0.48539636138110837</v>
      </c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8"/>
      <c r="U23" s="118"/>
      <c r="V23" s="118">
        <f>I6*I23*100</f>
        <v>16.018079925576576</v>
      </c>
      <c r="W23" s="118">
        <f>I23*100*(I6-I5)</f>
        <v>10.678719950384385</v>
      </c>
      <c r="X23" s="118">
        <f>$I$23*100*($I$6-$I$5*K10)</f>
        <v>5.3393599751921927</v>
      </c>
      <c r="Y23" s="118">
        <f>$I$23*100*($I$6-$I$5*L10)</f>
        <v>0</v>
      </c>
      <c r="Z23" s="118">
        <f t="shared" ref="Z23:AC23" si="18">$I$23*100*($I$6-$I$5*M10)</f>
        <v>-5.339359975192191</v>
      </c>
      <c r="AA23" s="118">
        <f t="shared" si="18"/>
        <v>-10.678719950384385</v>
      </c>
      <c r="AB23" s="118">
        <f t="shared" si="18"/>
        <v>-16.018079925576576</v>
      </c>
      <c r="AC23" s="118">
        <f t="shared" si="18"/>
        <v>-21.357439900768767</v>
      </c>
    </row>
    <row r="24" spans="2:29" ht="16.8" x14ac:dyDescent="0.3">
      <c r="B24" s="24" t="str">
        <f t="shared" si="6"/>
        <v>L12</v>
      </c>
      <c r="C24" s="10">
        <f t="shared" si="7"/>
        <v>0.3512274684378498</v>
      </c>
      <c r="D24" s="9">
        <f t="shared" si="8"/>
        <v>19.317510764081742</v>
      </c>
      <c r="E24" s="113">
        <f>IF(B24=0,0,($E$7*($E$10-12)))</f>
        <v>0.55000000000000004</v>
      </c>
      <c r="H24" s="34">
        <v>14</v>
      </c>
      <c r="I24" s="30">
        <f t="shared" si="3"/>
        <v>0.6708177714286917</v>
      </c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8"/>
      <c r="U24" s="118"/>
      <c r="V24" s="118"/>
      <c r="W24" s="118">
        <f>I6*I24*100</f>
        <v>22.136986457146826</v>
      </c>
      <c r="X24" s="118">
        <f>I24*100*(I6-I5)</f>
        <v>14.757990971431219</v>
      </c>
      <c r="Y24" s="118">
        <f>$I$24*100*($I$6-$I$5*K10)</f>
        <v>7.3789954857156097</v>
      </c>
      <c r="Z24" s="118">
        <f t="shared" ref="Z24:AC24" si="19">$I$24*100*($I$6-$I$5*L10)</f>
        <v>0</v>
      </c>
      <c r="AA24" s="118">
        <f t="shared" si="19"/>
        <v>-7.3789954857156079</v>
      </c>
      <c r="AB24" s="118">
        <f t="shared" si="19"/>
        <v>-14.757990971431219</v>
      </c>
      <c r="AC24" s="118">
        <f t="shared" si="19"/>
        <v>-22.136986457146829</v>
      </c>
    </row>
    <row r="25" spans="2:29" ht="16.8" x14ac:dyDescent="0.3">
      <c r="B25" s="24" t="str">
        <f t="shared" si="6"/>
        <v>L13</v>
      </c>
      <c r="C25" s="10">
        <f t="shared" si="7"/>
        <v>0.48539636138110837</v>
      </c>
      <c r="D25" s="9">
        <f t="shared" si="8"/>
        <v>21.357439900768767</v>
      </c>
      <c r="E25" s="113">
        <f>IF(B25=0,0,($E$7*($E$10-13)))</f>
        <v>0.44</v>
      </c>
      <c r="H25" s="34">
        <v>15</v>
      </c>
      <c r="I25" s="30">
        <f t="shared" si="3"/>
        <v>0.92707016011445187</v>
      </c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8"/>
      <c r="U25" s="118"/>
      <c r="V25" s="118"/>
      <c r="W25" s="118"/>
      <c r="X25" s="118">
        <f>I6*I25*100</f>
        <v>30.59331528377691</v>
      </c>
      <c r="Y25" s="118">
        <f>I25*100*(I6-I5)</f>
        <v>20.395543522517944</v>
      </c>
      <c r="Z25" s="118">
        <f>$I$25*100*($I$6-$I$5*K10)</f>
        <v>10.197771761258972</v>
      </c>
      <c r="AA25" s="118">
        <f>$I$25*100*($I$6-$I$5*L10)</f>
        <v>0</v>
      </c>
      <c r="AB25" s="118">
        <f>$I$25*100*($I$6-$I$5*M10)</f>
        <v>-10.19777176125897</v>
      </c>
      <c r="AC25" s="118">
        <f>$I$25*100*($I$6-$I$5*N10)</f>
        <v>-20.395543522517944</v>
      </c>
    </row>
    <row r="26" spans="2:29" ht="16.8" x14ac:dyDescent="0.3">
      <c r="B26" s="24" t="str">
        <f t="shared" si="6"/>
        <v>L14</v>
      </c>
      <c r="C26" s="10">
        <f t="shared" si="7"/>
        <v>0.6708177714286917</v>
      </c>
      <c r="D26" s="9">
        <f t="shared" si="8"/>
        <v>22.136986457146826</v>
      </c>
      <c r="E26" s="113">
        <f>IF(B26=0,0,($E$7*($E$10-14)))</f>
        <v>0.33</v>
      </c>
      <c r="H26" s="34">
        <v>16</v>
      </c>
      <c r="I26" s="30">
        <f t="shared" si="3"/>
        <v>1.2812109612781724</v>
      </c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8"/>
      <c r="U26" s="118"/>
      <c r="V26" s="118"/>
      <c r="W26" s="118"/>
      <c r="X26" s="118"/>
      <c r="Y26" s="118">
        <f>I26*I6*100</f>
        <v>42.279961722179685</v>
      </c>
      <c r="Z26" s="118">
        <f>$I$26*100*($I$6-$I$5)</f>
        <v>28.186641148119794</v>
      </c>
      <c r="AA26" s="118">
        <f>$I$26*100*($I$6-$I$5*K10)</f>
        <v>14.093320574059897</v>
      </c>
      <c r="AB26" s="118">
        <f>$I$26*100*($I$6-$I$5*L10)</f>
        <v>0</v>
      </c>
      <c r="AC26" s="118">
        <f>$I$26*100*($I$6-$I$5*M10)</f>
        <v>-14.093320574059893</v>
      </c>
    </row>
    <row r="27" spans="2:29" ht="16.8" x14ac:dyDescent="0.3">
      <c r="B27" s="24" t="str">
        <f t="shared" si="6"/>
        <v>L15</v>
      </c>
      <c r="C27" s="10">
        <f t="shared" si="7"/>
        <v>0.92707016011445187</v>
      </c>
      <c r="D27" s="9">
        <f t="shared" si="8"/>
        <v>20.395543522517944</v>
      </c>
      <c r="E27" s="113">
        <f>IF(B27=0,0,($E$7*($E$10-15)))</f>
        <v>0.22</v>
      </c>
      <c r="H27" s="34">
        <v>17</v>
      </c>
      <c r="I27" s="30">
        <f t="shared" si="3"/>
        <v>1.770633548486434</v>
      </c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8">
        <f>$I$27*$I$6*100</f>
        <v>58.430907100052323</v>
      </c>
      <c r="AA27" s="118">
        <f>$I$27*100*($I$6-$I$5*J$10)</f>
        <v>38.953938066701554</v>
      </c>
      <c r="AB27" s="118">
        <f t="shared" ref="AB27:AC27" si="20">$I$27*100*($I$6-$I$5*K$10)</f>
        <v>19.476969033350777</v>
      </c>
      <c r="AC27" s="118">
        <f t="shared" si="20"/>
        <v>0</v>
      </c>
    </row>
    <row r="28" spans="2:29" ht="16.8" x14ac:dyDescent="0.3">
      <c r="B28" s="24" t="str">
        <f t="shared" si="6"/>
        <v>L16</v>
      </c>
      <c r="C28" s="10">
        <f t="shared" si="7"/>
        <v>1.2812109612781724</v>
      </c>
      <c r="D28" s="9">
        <f t="shared" si="8"/>
        <v>14.093320574059895</v>
      </c>
      <c r="E28" s="113">
        <f>IF(B28=0,0,($E$7*($E$10-16)))</f>
        <v>0.11</v>
      </c>
      <c r="H28" s="34">
        <v>18</v>
      </c>
      <c r="I28" s="30">
        <f t="shared" si="3"/>
        <v>2.4470155640082516</v>
      </c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8">
        <f>$I$28*$I$6*100</f>
        <v>80.751513612272305</v>
      </c>
      <c r="AB28" s="118">
        <f>$I$28*100*($I$6-$I$5*J$10)</f>
        <v>53.834342408181541</v>
      </c>
      <c r="AC28" s="118">
        <f>$I$28*100*($I$6-$I$5*K$10)</f>
        <v>26.917171204090771</v>
      </c>
    </row>
    <row r="29" spans="2:29" ht="16.8" x14ac:dyDescent="0.3">
      <c r="B29" s="24" t="str">
        <f t="shared" si="6"/>
        <v>L17</v>
      </c>
      <c r="C29" s="10">
        <f t="shared" si="7"/>
        <v>1.770633548486434</v>
      </c>
      <c r="D29" s="9">
        <f t="shared" si="8"/>
        <v>0</v>
      </c>
      <c r="E29" s="113">
        <f>IF(B29=0,0,($E$7*($E$10-17)))</f>
        <v>0</v>
      </c>
      <c r="H29" s="34">
        <v>19</v>
      </c>
      <c r="I29" s="30">
        <f t="shared" si="3"/>
        <v>3.3817755094594033</v>
      </c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8">
        <f>$I$29*$I$6*100</f>
        <v>111.59859181216032</v>
      </c>
      <c r="AC29" s="118">
        <f>$I$29*100*($I$6-$I$5*J$10)</f>
        <v>74.399061208106872</v>
      </c>
    </row>
    <row r="30" spans="2:29" ht="16.8" x14ac:dyDescent="0.3">
      <c r="B30" s="24">
        <f t="shared" si="6"/>
        <v>0</v>
      </c>
      <c r="C30" s="10">
        <f t="shared" si="7"/>
        <v>0</v>
      </c>
      <c r="D30" s="9">
        <f t="shared" si="8"/>
        <v>0</v>
      </c>
      <c r="E30" s="9">
        <f>IF(B30=0,0,($E$7*($E$10-18)))</f>
        <v>0</v>
      </c>
      <c r="H30" s="34">
        <v>20</v>
      </c>
      <c r="I30" s="30">
        <f t="shared" si="3"/>
        <v>4.6736137540728953</v>
      </c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8">
        <f>$I$30*$I$6*100</f>
        <v>154.22925388440555</v>
      </c>
    </row>
    <row r="31" spans="2:29" ht="16.8" x14ac:dyDescent="0.3">
      <c r="B31" s="24">
        <f>IF(B30=0,0,IF(VALUE(MID(B30,2,2))&gt;=$E$10,0,"L"&amp;VALUE(MID(B30,2,2))+1))</f>
        <v>0</v>
      </c>
      <c r="C31" s="10">
        <f>IF(B31&lt;&gt;0,C30*$E$9,0)</f>
        <v>0</v>
      </c>
      <c r="D31" s="9">
        <f t="shared" si="8"/>
        <v>0</v>
      </c>
      <c r="E31" s="9">
        <f>IF(B31=0,0,($E$7*($E$10-19)))</f>
        <v>0</v>
      </c>
      <c r="H31" s="36" t="s">
        <v>46</v>
      </c>
      <c r="I31" s="41">
        <f>SUM(I11:I26)</f>
        <v>4.6089883468231267</v>
      </c>
      <c r="J31" s="120">
        <f>SUMIF(J11:J30, "&lt;0")</f>
        <v>0</v>
      </c>
      <c r="K31" s="120">
        <f t="shared" ref="K31:AC31" si="21">SUMIF(K11:K30, "&lt;0")</f>
        <v>0</v>
      </c>
      <c r="L31" s="120">
        <f t="shared" si="21"/>
        <v>0</v>
      </c>
      <c r="M31" s="120">
        <f t="shared" si="21"/>
        <v>0</v>
      </c>
      <c r="N31" s="120">
        <f t="shared" si="21"/>
        <v>-0.10999999999999999</v>
      </c>
      <c r="O31" s="120">
        <f t="shared" si="21"/>
        <v>-0.37202000000000002</v>
      </c>
      <c r="P31" s="120">
        <f t="shared" si="21"/>
        <v>-0.84413163999999996</v>
      </c>
      <c r="Q31" s="120">
        <f t="shared" si="21"/>
        <v>-1.6065899264799999</v>
      </c>
      <c r="R31" s="120">
        <f t="shared" si="21"/>
        <v>-2.77030727839536</v>
      </c>
      <c r="S31" s="120">
        <f t="shared" si="21"/>
        <v>-4.4885646587423862</v>
      </c>
      <c r="T31" s="120">
        <f t="shared" si="21"/>
        <v>-6.973196358381978</v>
      </c>
      <c r="U31" s="120">
        <f t="shared" si="21"/>
        <v>-10.516957367283892</v>
      </c>
      <c r="V31" s="120">
        <f t="shared" si="21"/>
        <v>-15.524435081586336</v>
      </c>
      <c r="W31" s="120">
        <f t="shared" si="21"/>
        <v>-22.554769282752318</v>
      </c>
      <c r="X31" s="120">
        <f t="shared" si="21"/>
        <v>-32.380691148763702</v>
      </c>
      <c r="Y31" s="120">
        <f t="shared" si="21"/>
        <v>-46.070115167591432</v>
      </c>
      <c r="Z31" s="120">
        <f t="shared" si="21"/>
        <v>-65.098899161611357</v>
      </c>
      <c r="AA31" s="120">
        <f t="shared" si="21"/>
        <v>-91.506678641346895</v>
      </c>
      <c r="AB31" s="120">
        <f t="shared" si="21"/>
        <v>-128.11222988234138</v>
      </c>
      <c r="AC31" s="120">
        <f t="shared" si="21"/>
        <v>-178.81110169739583</v>
      </c>
    </row>
    <row r="32" spans="2:29" ht="16.8" x14ac:dyDescent="0.3">
      <c r="B32" s="24">
        <f t="shared" si="6"/>
        <v>0</v>
      </c>
      <c r="C32" s="10">
        <f t="shared" si="7"/>
        <v>0</v>
      </c>
      <c r="D32" s="9">
        <f t="shared" si="8"/>
        <v>0</v>
      </c>
      <c r="E32" s="9">
        <f t="shared" ref="E32:E34" si="22">IF(B32=0,0,($E$7*($E$10-20)))</f>
        <v>0</v>
      </c>
      <c r="I32" s="5" t="s">
        <v>85</v>
      </c>
      <c r="J32" s="121">
        <f t="shared" ref="J32:AC32" si="23">SUM(J11:J30)</f>
        <v>0.33</v>
      </c>
      <c r="K32" s="121">
        <f t="shared" si="23"/>
        <v>0.67605999999999999</v>
      </c>
      <c r="L32" s="121">
        <f t="shared" si="23"/>
        <v>1.0443149200000001</v>
      </c>
      <c r="M32" s="121">
        <f t="shared" si="23"/>
        <v>1.4432432194399998</v>
      </c>
      <c r="N32" s="121">
        <f t="shared" si="23"/>
        <v>1.8845621292660797</v>
      </c>
      <c r="O32" s="121">
        <f t="shared" si="23"/>
        <v>2.3844648626457219</v>
      </c>
      <c r="P32" s="121">
        <f t="shared" si="23"/>
        <v>2.9653304401763876</v>
      </c>
      <c r="Q32" s="121">
        <f t="shared" si="23"/>
        <v>3.6580866683237669</v>
      </c>
      <c r="R32" s="121">
        <f t="shared" si="23"/>
        <v>4.5054757756234451</v>
      </c>
      <c r="S32" s="121">
        <f t="shared" si="23"/>
        <v>5.5665675219116011</v>
      </c>
      <c r="T32" s="121">
        <f t="shared" si="23"/>
        <v>6.9229963152818321</v>
      </c>
      <c r="U32" s="121">
        <f t="shared" si="23"/>
        <v>8.687580907719493</v>
      </c>
      <c r="V32" s="121">
        <f t="shared" si="23"/>
        <v>11.016236814468339</v>
      </c>
      <c r="W32" s="121">
        <f t="shared" si="23"/>
        <v>14.124439277595242</v>
      </c>
      <c r="X32" s="121">
        <f t="shared" si="23"/>
        <v>18.309975081636619</v>
      </c>
      <c r="Y32" s="121">
        <f t="shared" si="23"/>
        <v>23.98438556282181</v>
      </c>
      <c r="Z32" s="121">
        <f t="shared" si="23"/>
        <v>31.71642084781973</v>
      </c>
      <c r="AA32" s="121">
        <f t="shared" si="23"/>
        <v>42.292093611686866</v>
      </c>
      <c r="AB32" s="121">
        <f t="shared" si="23"/>
        <v>56.797673371351252</v>
      </c>
      <c r="AC32" s="121">
        <f t="shared" si="23"/>
        <v>76.734384599207374</v>
      </c>
    </row>
    <row r="33" spans="2:30" ht="16.8" x14ac:dyDescent="0.3">
      <c r="B33" s="24">
        <f t="shared" si="6"/>
        <v>0</v>
      </c>
      <c r="C33" s="10">
        <f t="shared" si="7"/>
        <v>0</v>
      </c>
      <c r="D33" s="9">
        <f t="shared" si="8"/>
        <v>0</v>
      </c>
      <c r="E33" s="9">
        <f t="shared" si="22"/>
        <v>0</v>
      </c>
      <c r="H33" s="1"/>
      <c r="I33" s="5" t="s">
        <v>86</v>
      </c>
      <c r="J33" s="39">
        <f>SUM($I11:$I11)</f>
        <v>0.01</v>
      </c>
      <c r="K33" s="39">
        <f>SUM($I11:$I12)</f>
        <v>2.3820000000000001E-2</v>
      </c>
      <c r="L33" s="39">
        <f>SUM($I11:$I13)</f>
        <v>4.2919239999999997E-2</v>
      </c>
      <c r="M33" s="39">
        <f>SUM($I11:$I14)</f>
        <v>6.9314389679999991E-2</v>
      </c>
      <c r="N33" s="39">
        <f>SUM($I11:$I15)</f>
        <v>0.10579248653775998</v>
      </c>
      <c r="O33" s="39">
        <f>SUM($I11:$I16)</f>
        <v>0.15620521639518428</v>
      </c>
      <c r="P33" s="39">
        <f>SUM($I11:$I17)</f>
        <v>0.22587560905814466</v>
      </c>
      <c r="Q33" s="39">
        <f>SUM($I11:$I18)</f>
        <v>0.32216009171835591</v>
      </c>
      <c r="R33" s="39">
        <f>SUM($I11:$I19)</f>
        <v>0.45522524675476783</v>
      </c>
      <c r="S33" s="39">
        <f>SUM($I11:$I20)</f>
        <v>0.63912129101508908</v>
      </c>
      <c r="T33" s="39">
        <f>SUM($I11:$I21)</f>
        <v>0.89326562418285305</v>
      </c>
      <c r="U33" s="39">
        <f>SUM($I11:$I22)</f>
        <v>1.244493092620703</v>
      </c>
      <c r="V33" s="39">
        <f>SUM($I11:$I23)</f>
        <v>1.7298894540018113</v>
      </c>
      <c r="W33" s="39">
        <f>SUM($I11:$I24)</f>
        <v>2.4007072254305029</v>
      </c>
      <c r="X33" s="39">
        <f>SUM($I11:$I25)</f>
        <v>3.3277773855449548</v>
      </c>
      <c r="Y33" s="39">
        <f>SUM($I11:$I26)</f>
        <v>4.6089883468231267</v>
      </c>
      <c r="Z33" s="39">
        <f>SUM($I11:$I27)</f>
        <v>6.3796218953095609</v>
      </c>
      <c r="AA33" s="39">
        <f>SUM($I11:$I28)</f>
        <v>8.8266374593178121</v>
      </c>
      <c r="AB33" s="39">
        <f>SUM($I11:$I29)</f>
        <v>12.208412968777216</v>
      </c>
      <c r="AC33" s="39">
        <f>SUM($I11:$I30)</f>
        <v>16.88202672285011</v>
      </c>
    </row>
    <row r="34" spans="2:30" ht="17.399999999999999" thickBot="1" x14ac:dyDescent="0.35">
      <c r="B34" s="24">
        <f t="shared" si="6"/>
        <v>0</v>
      </c>
      <c r="C34" s="10">
        <f t="shared" si="7"/>
        <v>0</v>
      </c>
      <c r="D34" s="9">
        <f t="shared" si="8"/>
        <v>0</v>
      </c>
      <c r="E34" s="9">
        <f t="shared" si="22"/>
        <v>0</v>
      </c>
    </row>
    <row r="35" spans="2:30" ht="18" thickTop="1" thickBot="1" x14ac:dyDescent="0.3">
      <c r="B35" s="56" t="s">
        <v>11</v>
      </c>
      <c r="C35" s="25">
        <f>SUM(C13:C34)</f>
        <v>6.3796218953095609</v>
      </c>
      <c r="D35" s="25">
        <f>SUM(D13:D34)</f>
        <v>178.81110169739583</v>
      </c>
      <c r="E35" s="26">
        <f>MAX(E13:E34)</f>
        <v>1.76</v>
      </c>
    </row>
    <row r="36" spans="2:30" ht="13.8" thickTop="1" x14ac:dyDescent="0.25"/>
    <row r="37" spans="2:30" x14ac:dyDescent="0.25"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2:30" x14ac:dyDescent="0.25"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2:30" x14ac:dyDescent="0.25"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2:30" x14ac:dyDescent="0.25"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2:30" x14ac:dyDescent="0.25"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2:30" x14ac:dyDescent="0.25"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2:30" x14ac:dyDescent="0.25"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2:30" x14ac:dyDescent="0.25"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2:30" x14ac:dyDescent="0.25"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2:30" x14ac:dyDescent="0.25"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2:30" x14ac:dyDescent="0.25"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2:30" x14ac:dyDescent="0.25"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6:30" x14ac:dyDescent="0.25"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6:30" x14ac:dyDescent="0.25"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6:30" x14ac:dyDescent="0.25"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6:30" x14ac:dyDescent="0.25"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6:30" x14ac:dyDescent="0.25"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6:30" x14ac:dyDescent="0.25"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6:30" x14ac:dyDescent="0.25"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6:30" x14ac:dyDescent="0.25"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6:30" x14ac:dyDescent="0.25"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6:30" x14ac:dyDescent="0.25"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6:30" x14ac:dyDescent="0.25"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6:30" x14ac:dyDescent="0.25"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6:30" x14ac:dyDescent="0.25"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6:30" x14ac:dyDescent="0.25"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6:30" x14ac:dyDescent="0.25"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6:30" x14ac:dyDescent="0.25"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6:30" x14ac:dyDescent="0.25"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6:30" x14ac:dyDescent="0.25"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6:30" x14ac:dyDescent="0.25"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6:30" x14ac:dyDescent="0.25"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6:30" x14ac:dyDescent="0.25"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6:30" x14ac:dyDescent="0.25"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6:30" x14ac:dyDescent="0.25"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6:30" x14ac:dyDescent="0.25"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6:30" x14ac:dyDescent="0.25"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6:30" x14ac:dyDescent="0.25"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6:30" x14ac:dyDescent="0.25"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6:30" x14ac:dyDescent="0.25"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6:30" x14ac:dyDescent="0.25"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6:30" x14ac:dyDescent="0.25"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6:30" x14ac:dyDescent="0.25"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6:30" x14ac:dyDescent="0.25"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6:26" x14ac:dyDescent="0.25"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6:26" x14ac:dyDescent="0.25"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6:26" x14ac:dyDescent="0.25"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6:26" x14ac:dyDescent="0.25"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6:26" x14ac:dyDescent="0.25"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6:26" x14ac:dyDescent="0.25"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6:26" x14ac:dyDescent="0.25"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6:26" x14ac:dyDescent="0.25"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6:26" x14ac:dyDescent="0.25"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6:26" x14ac:dyDescent="0.25"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6:26" x14ac:dyDescent="0.25"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6:26" x14ac:dyDescent="0.25"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6:26" x14ac:dyDescent="0.25"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6:26" x14ac:dyDescent="0.25"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6:26" x14ac:dyDescent="0.25"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6:26" x14ac:dyDescent="0.25"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6:26" x14ac:dyDescent="0.25"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6:26" x14ac:dyDescent="0.25"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6:26" x14ac:dyDescent="0.25"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</sheetData>
  <protectedRanges>
    <protectedRange sqref="E2:E10" name="DATA_2"/>
  </protectedRanges>
  <mergeCells count="6">
    <mergeCell ref="K2:L2"/>
    <mergeCell ref="M2:N2"/>
    <mergeCell ref="O2:Q2"/>
    <mergeCell ref="K3:L3"/>
    <mergeCell ref="M3:N3"/>
    <mergeCell ref="O3:Q3"/>
  </mergeCells>
  <phoneticPr fontId="7"/>
  <conditionalFormatting sqref="J10">
    <cfRule type="expression" dxfId="19" priority="5">
      <formula>$J$10=$E$10</formula>
    </cfRule>
  </conditionalFormatting>
  <conditionalFormatting sqref="K10">
    <cfRule type="expression" dxfId="18" priority="6">
      <formula>$K$10=$E$10</formula>
    </cfRule>
  </conditionalFormatting>
  <conditionalFormatting sqref="L10">
    <cfRule type="expression" dxfId="17" priority="7">
      <formula>$L$10=$E$10</formula>
    </cfRule>
  </conditionalFormatting>
  <conditionalFormatting sqref="M10">
    <cfRule type="expression" dxfId="16" priority="8">
      <formula>$M$10=$E$10</formula>
    </cfRule>
  </conditionalFormatting>
  <conditionalFormatting sqref="N10">
    <cfRule type="expression" dxfId="15" priority="9">
      <formula>$N$10=$E$10</formula>
    </cfRule>
  </conditionalFormatting>
  <conditionalFormatting sqref="O10">
    <cfRule type="expression" dxfId="14" priority="10">
      <formula>$O$10=$E$10</formula>
    </cfRule>
  </conditionalFormatting>
  <conditionalFormatting sqref="P10">
    <cfRule type="expression" dxfId="13" priority="11">
      <formula>$P$10=$E$10</formula>
    </cfRule>
  </conditionalFormatting>
  <conditionalFormatting sqref="Q10">
    <cfRule type="expression" dxfId="12" priority="12">
      <formula>$Q$10=$E$10</formula>
    </cfRule>
  </conditionalFormatting>
  <conditionalFormatting sqref="R10">
    <cfRule type="expression" dxfId="11" priority="13">
      <formula>$R$10=$E$10</formula>
    </cfRule>
  </conditionalFormatting>
  <conditionalFormatting sqref="S10">
    <cfRule type="expression" dxfId="10" priority="14">
      <formula>$S$10=$E$10</formula>
    </cfRule>
  </conditionalFormatting>
  <conditionalFormatting sqref="T10">
    <cfRule type="expression" dxfId="9" priority="15">
      <formula>$T$10=$E$10</formula>
    </cfRule>
  </conditionalFormatting>
  <conditionalFormatting sqref="U10">
    <cfRule type="expression" dxfId="8" priority="16">
      <formula>$U$10=$E$10</formula>
    </cfRule>
  </conditionalFormatting>
  <conditionalFormatting sqref="V10">
    <cfRule type="expression" dxfId="7" priority="17">
      <formula>$V$10=$E$10</formula>
    </cfRule>
  </conditionalFormatting>
  <conditionalFormatting sqref="W10">
    <cfRule type="expression" dxfId="6" priority="18">
      <formula>$W$10=$E$10</formula>
    </cfRule>
  </conditionalFormatting>
  <conditionalFormatting sqref="X10">
    <cfRule type="expression" dxfId="5" priority="19">
      <formula>$X$10=$E$10</formula>
    </cfRule>
  </conditionalFormatting>
  <conditionalFormatting sqref="Y10">
    <cfRule type="expression" dxfId="4" priority="20">
      <formula>$Y$10=$E$10</formula>
    </cfRule>
  </conditionalFormatting>
  <conditionalFormatting sqref="Z10">
    <cfRule type="expression" dxfId="3" priority="4">
      <formula>$Z$10=$E$10</formula>
    </cfRule>
  </conditionalFormatting>
  <conditionalFormatting sqref="AA10">
    <cfRule type="expression" dxfId="2" priority="3">
      <formula>$AA$10=$E$10</formula>
    </cfRule>
  </conditionalFormatting>
  <conditionalFormatting sqref="AB10">
    <cfRule type="expression" dxfId="1" priority="2">
      <formula>$AB$10=$E$10</formula>
    </cfRule>
  </conditionalFormatting>
  <conditionalFormatting sqref="AC10">
    <cfRule type="expression" dxfId="0" priority="1">
      <formula>$AC$10=$E$10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45"/>
  <sheetViews>
    <sheetView topLeftCell="A24" workbookViewId="0">
      <selection activeCell="I40" sqref="I40"/>
    </sheetView>
  </sheetViews>
  <sheetFormatPr defaultColWidth="9.09765625" defaultRowHeight="13.8" x14ac:dyDescent="0.45"/>
  <cols>
    <col min="1" max="1" width="9.09765625" style="57"/>
    <col min="2" max="2" width="6" style="57" customWidth="1"/>
    <col min="3" max="4" width="9.09765625" style="19"/>
    <col min="5" max="5" width="15.3984375" style="19" bestFit="1" customWidth="1"/>
    <col min="6" max="6" width="9.09765625" style="19"/>
    <col min="7" max="20" width="9.09765625" style="57"/>
    <col min="21" max="21" width="10.3984375" style="57" customWidth="1"/>
    <col min="22" max="16384" width="9.09765625" style="57"/>
  </cols>
  <sheetData>
    <row r="1" spans="2:23" x14ac:dyDescent="0.45">
      <c r="B1" s="129" t="s">
        <v>78</v>
      </c>
      <c r="C1" s="129"/>
      <c r="D1" s="129"/>
      <c r="E1" s="13" t="s">
        <v>50</v>
      </c>
      <c r="F1" s="58">
        <v>1</v>
      </c>
      <c r="G1" s="58">
        <v>1.6</v>
      </c>
      <c r="H1" s="58">
        <v>1.7</v>
      </c>
    </row>
    <row r="2" spans="2:23" x14ac:dyDescent="0.45">
      <c r="B2" s="129" t="s">
        <v>79</v>
      </c>
      <c r="C2" s="129"/>
      <c r="D2" s="130"/>
      <c r="E2" s="65"/>
      <c r="F2" s="14" t="s">
        <v>84</v>
      </c>
      <c r="G2" s="68"/>
      <c r="H2" s="69">
        <v>5</v>
      </c>
      <c r="I2" s="69">
        <v>5</v>
      </c>
      <c r="J2" s="69">
        <v>5</v>
      </c>
      <c r="K2" s="69">
        <v>5</v>
      </c>
      <c r="L2" s="69">
        <v>5</v>
      </c>
      <c r="M2" s="69">
        <v>5</v>
      </c>
      <c r="N2" s="70">
        <v>5</v>
      </c>
      <c r="O2" s="82">
        <v>3</v>
      </c>
      <c r="P2" s="83">
        <v>3</v>
      </c>
      <c r="Q2" s="84">
        <v>3</v>
      </c>
      <c r="R2" s="88">
        <v>2</v>
      </c>
      <c r="S2" s="89">
        <v>2</v>
      </c>
      <c r="T2" s="89">
        <v>2</v>
      </c>
      <c r="U2" s="90">
        <v>2</v>
      </c>
    </row>
    <row r="3" spans="2:23" x14ac:dyDescent="0.45">
      <c r="B3" s="129"/>
      <c r="C3" s="129"/>
      <c r="D3" s="130"/>
      <c r="E3" s="65"/>
      <c r="F3" s="65" t="s">
        <v>83</v>
      </c>
      <c r="G3" s="71"/>
      <c r="H3" s="72">
        <f>H2</f>
        <v>5</v>
      </c>
      <c r="I3" s="72">
        <f>SUM($H$2:I2)</f>
        <v>10</v>
      </c>
      <c r="J3" s="72">
        <f>SUM($H$2:J2)</f>
        <v>15</v>
      </c>
      <c r="K3" s="72">
        <f>SUM($H$2:K2)</f>
        <v>20</v>
      </c>
      <c r="L3" s="72">
        <f>SUM($H$2:L2)</f>
        <v>25</v>
      </c>
      <c r="M3" s="72">
        <f>SUM($H$2:M2)</f>
        <v>30</v>
      </c>
      <c r="N3" s="73">
        <f>SUM($H$2:N2)</f>
        <v>35</v>
      </c>
      <c r="O3" s="85">
        <f>SUM($H$2:O2)</f>
        <v>38</v>
      </c>
      <c r="P3" s="86">
        <f>SUM($H$2:P2)</f>
        <v>41</v>
      </c>
      <c r="Q3" s="87">
        <f>SUM($H$2:Q2)</f>
        <v>44</v>
      </c>
      <c r="R3" s="91">
        <f>SUM($H$2:R2)</f>
        <v>46</v>
      </c>
      <c r="S3" s="92">
        <f>SUM($H$2:S2)</f>
        <v>48</v>
      </c>
      <c r="T3" s="92">
        <f>SUM($H$2:T2)</f>
        <v>50</v>
      </c>
      <c r="U3" s="93">
        <f>SUM($H$2:U2)</f>
        <v>52</v>
      </c>
    </row>
    <row r="4" spans="2:23" x14ac:dyDescent="0.45">
      <c r="B4" s="131" t="s">
        <v>80</v>
      </c>
      <c r="C4" s="131"/>
      <c r="D4" s="132"/>
      <c r="E4" s="15" t="s">
        <v>13</v>
      </c>
      <c r="F4" s="15"/>
      <c r="G4" s="96">
        <v>30</v>
      </c>
      <c r="H4" s="97">
        <v>30</v>
      </c>
      <c r="I4" s="97">
        <v>30</v>
      </c>
      <c r="J4" s="97">
        <v>30</v>
      </c>
      <c r="K4" s="97">
        <v>30</v>
      </c>
      <c r="L4" s="97">
        <v>30</v>
      </c>
      <c r="M4" s="97">
        <v>30</v>
      </c>
      <c r="N4" s="98">
        <v>30</v>
      </c>
      <c r="O4" s="99">
        <v>5</v>
      </c>
      <c r="P4" s="100">
        <v>5</v>
      </c>
      <c r="Q4" s="101">
        <v>5</v>
      </c>
      <c r="R4" s="102">
        <v>3</v>
      </c>
      <c r="S4" s="103">
        <v>3</v>
      </c>
      <c r="T4" s="103">
        <v>3</v>
      </c>
      <c r="U4" s="104">
        <v>3</v>
      </c>
    </row>
    <row r="5" spans="2:23" ht="14.4" x14ac:dyDescent="0.45">
      <c r="B5" s="59" t="s">
        <v>81</v>
      </c>
      <c r="C5" s="60">
        <f>F1</f>
        <v>1</v>
      </c>
      <c r="D5" s="60">
        <f>G1</f>
        <v>1.6</v>
      </c>
      <c r="E5" s="60">
        <f>H1</f>
        <v>1.7</v>
      </c>
      <c r="F5" s="66" t="s">
        <v>82</v>
      </c>
      <c r="G5" s="105" t="s">
        <v>31</v>
      </c>
      <c r="H5" s="106" t="s">
        <v>32</v>
      </c>
      <c r="I5" s="106" t="s">
        <v>33</v>
      </c>
      <c r="J5" s="106" t="s">
        <v>34</v>
      </c>
      <c r="K5" s="106" t="s">
        <v>35</v>
      </c>
      <c r="L5" s="106" t="s">
        <v>36</v>
      </c>
      <c r="M5" s="106" t="s">
        <v>37</v>
      </c>
      <c r="N5" s="107" t="s">
        <v>38</v>
      </c>
      <c r="O5" s="108" t="s">
        <v>39</v>
      </c>
      <c r="P5" s="106" t="s">
        <v>40</v>
      </c>
      <c r="Q5" s="107" t="s">
        <v>41</v>
      </c>
      <c r="R5" s="108" t="s">
        <v>42</v>
      </c>
      <c r="S5" s="106" t="s">
        <v>43</v>
      </c>
      <c r="T5" s="106" t="s">
        <v>44</v>
      </c>
      <c r="U5" s="107" t="s">
        <v>45</v>
      </c>
    </row>
    <row r="6" spans="2:23" x14ac:dyDescent="0.45">
      <c r="B6" s="61" t="s">
        <v>31</v>
      </c>
      <c r="C6" s="16">
        <v>0.01</v>
      </c>
      <c r="D6" s="17">
        <f>C6</f>
        <v>0.01</v>
      </c>
      <c r="E6" s="17">
        <f>C6</f>
        <v>0.01</v>
      </c>
      <c r="F6" s="64">
        <v>0.01</v>
      </c>
      <c r="G6" s="94">
        <f>F6*G4*100</f>
        <v>30</v>
      </c>
      <c r="H6" s="46">
        <f>$F$6*(H4-H3)*100</f>
        <v>25</v>
      </c>
      <c r="I6" s="46">
        <f t="shared" ref="I6:U6" si="0">$F$6*(I4-I3)*100</f>
        <v>20</v>
      </c>
      <c r="J6" s="46">
        <f t="shared" si="0"/>
        <v>15</v>
      </c>
      <c r="K6" s="46">
        <f t="shared" si="0"/>
        <v>10</v>
      </c>
      <c r="L6" s="46">
        <f t="shared" si="0"/>
        <v>5</v>
      </c>
      <c r="M6" s="46">
        <f t="shared" si="0"/>
        <v>0</v>
      </c>
      <c r="N6" s="95">
        <f t="shared" si="0"/>
        <v>-5</v>
      </c>
      <c r="O6" s="49">
        <f t="shared" si="0"/>
        <v>-33</v>
      </c>
      <c r="P6" s="46">
        <f t="shared" si="0"/>
        <v>-36</v>
      </c>
      <c r="Q6" s="95">
        <f t="shared" si="0"/>
        <v>-39</v>
      </c>
      <c r="R6" s="49">
        <f t="shared" si="0"/>
        <v>-43</v>
      </c>
      <c r="S6" s="46">
        <f t="shared" si="0"/>
        <v>-45</v>
      </c>
      <c r="T6" s="46">
        <f t="shared" si="0"/>
        <v>-47</v>
      </c>
      <c r="U6" s="95">
        <f t="shared" si="0"/>
        <v>-49</v>
      </c>
      <c r="V6" s="62"/>
      <c r="W6" s="62"/>
    </row>
    <row r="7" spans="2:23" x14ac:dyDescent="0.45">
      <c r="B7" s="61" t="s">
        <v>32</v>
      </c>
      <c r="C7" s="17">
        <f>C6*$F$1</f>
        <v>0.01</v>
      </c>
      <c r="D7" s="17">
        <f t="shared" ref="D7:D20" si="1">D6*$G$1</f>
        <v>1.6E-2</v>
      </c>
      <c r="E7" s="17">
        <f t="shared" ref="E7:E20" si="2">E6*$H$1</f>
        <v>1.7000000000000001E-2</v>
      </c>
      <c r="F7" s="17">
        <f>F6*$F$1</f>
        <v>0.01</v>
      </c>
      <c r="G7" s="47"/>
      <c r="H7" s="50">
        <f>F7*H4*100</f>
        <v>30</v>
      </c>
      <c r="I7" s="18">
        <f>$F$7*(I4-(I3-H3))*100</f>
        <v>25</v>
      </c>
      <c r="J7" s="18">
        <f>$F$7*100*(J4-(J3-$H$3))</f>
        <v>20</v>
      </c>
      <c r="K7" s="18">
        <f t="shared" ref="K7:U7" si="3">$F$7*100*(K4-(K3-$H$3))</f>
        <v>15</v>
      </c>
      <c r="L7" s="18">
        <f t="shared" si="3"/>
        <v>10</v>
      </c>
      <c r="M7" s="18">
        <f t="shared" si="3"/>
        <v>5</v>
      </c>
      <c r="N7" s="48">
        <f t="shared" si="3"/>
        <v>0</v>
      </c>
      <c r="O7" s="47">
        <f t="shared" si="3"/>
        <v>-28</v>
      </c>
      <c r="P7" s="18">
        <f t="shared" si="3"/>
        <v>-31</v>
      </c>
      <c r="Q7" s="48">
        <f t="shared" si="3"/>
        <v>-34</v>
      </c>
      <c r="R7" s="47">
        <f t="shared" si="3"/>
        <v>-38</v>
      </c>
      <c r="S7" s="18">
        <f t="shared" si="3"/>
        <v>-40</v>
      </c>
      <c r="T7" s="18">
        <f t="shared" si="3"/>
        <v>-42</v>
      </c>
      <c r="U7" s="48">
        <f t="shared" si="3"/>
        <v>-44</v>
      </c>
      <c r="V7" s="62"/>
      <c r="W7" s="62"/>
    </row>
    <row r="8" spans="2:23" x14ac:dyDescent="0.45">
      <c r="B8" s="61" t="s">
        <v>33</v>
      </c>
      <c r="C8" s="17">
        <f>C7*$F$1</f>
        <v>0.01</v>
      </c>
      <c r="D8" s="17">
        <f t="shared" si="1"/>
        <v>2.5600000000000001E-2</v>
      </c>
      <c r="E8" s="17">
        <f t="shared" si="2"/>
        <v>2.8900000000000002E-2</v>
      </c>
      <c r="F8" s="17">
        <f>F7*$F$1</f>
        <v>0.01</v>
      </c>
      <c r="G8" s="47"/>
      <c r="H8" s="18"/>
      <c r="I8" s="50">
        <f>F8*I4*100</f>
        <v>30</v>
      </c>
      <c r="J8" s="18">
        <f>$F$8*100*(J4 -(J3-$I$3))</f>
        <v>25</v>
      </c>
      <c r="K8" s="18">
        <f t="shared" ref="K8:U8" si="4">$F$8*100*(K4 -(K3-$I$3))</f>
        <v>20</v>
      </c>
      <c r="L8" s="18">
        <f t="shared" si="4"/>
        <v>15</v>
      </c>
      <c r="M8" s="18">
        <f t="shared" si="4"/>
        <v>10</v>
      </c>
      <c r="N8" s="48">
        <f t="shared" si="4"/>
        <v>5</v>
      </c>
      <c r="O8" s="47">
        <f t="shared" si="4"/>
        <v>-23</v>
      </c>
      <c r="P8" s="18">
        <f t="shared" si="4"/>
        <v>-26</v>
      </c>
      <c r="Q8" s="48">
        <f t="shared" si="4"/>
        <v>-29</v>
      </c>
      <c r="R8" s="47">
        <f t="shared" si="4"/>
        <v>-33</v>
      </c>
      <c r="S8" s="18">
        <f t="shared" si="4"/>
        <v>-35</v>
      </c>
      <c r="T8" s="18">
        <f t="shared" si="4"/>
        <v>-37</v>
      </c>
      <c r="U8" s="48">
        <f t="shared" si="4"/>
        <v>-39</v>
      </c>
      <c r="V8" s="62"/>
      <c r="W8" s="62"/>
    </row>
    <row r="9" spans="2:23" x14ac:dyDescent="0.45">
      <c r="B9" s="61" t="s">
        <v>34</v>
      </c>
      <c r="C9" s="17">
        <f t="shared" ref="C9:C20" si="5">C8*$F$1</f>
        <v>0.01</v>
      </c>
      <c r="D9" s="17">
        <f t="shared" si="1"/>
        <v>4.0960000000000003E-2</v>
      </c>
      <c r="E9" s="17">
        <f t="shared" si="2"/>
        <v>4.913E-2</v>
      </c>
      <c r="F9" s="17">
        <f t="shared" ref="F9:F13" si="6">F8*$F$1</f>
        <v>0.01</v>
      </c>
      <c r="G9" s="47"/>
      <c r="H9" s="18"/>
      <c r="I9" s="18"/>
      <c r="J9" s="50">
        <f>F9*J4*100</f>
        <v>30</v>
      </c>
      <c r="K9" s="18">
        <f>$F$9*(K4-(K3-$J$3))*100</f>
        <v>25</v>
      </c>
      <c r="L9" s="18">
        <f t="shared" ref="L9:U9" si="7">$F$9*(L4-(L3-$J$3))*100</f>
        <v>20</v>
      </c>
      <c r="M9" s="18">
        <f t="shared" si="7"/>
        <v>15</v>
      </c>
      <c r="N9" s="48">
        <f t="shared" si="7"/>
        <v>10</v>
      </c>
      <c r="O9" s="47">
        <f t="shared" si="7"/>
        <v>-18</v>
      </c>
      <c r="P9" s="18">
        <f t="shared" si="7"/>
        <v>-21</v>
      </c>
      <c r="Q9" s="48">
        <f t="shared" si="7"/>
        <v>-24</v>
      </c>
      <c r="R9" s="47">
        <f t="shared" si="7"/>
        <v>-28.000000000000004</v>
      </c>
      <c r="S9" s="18">
        <f t="shared" si="7"/>
        <v>-30</v>
      </c>
      <c r="T9" s="18">
        <f t="shared" si="7"/>
        <v>-32</v>
      </c>
      <c r="U9" s="48">
        <f t="shared" si="7"/>
        <v>-34</v>
      </c>
      <c r="V9" s="62"/>
      <c r="W9" s="62"/>
    </row>
    <row r="10" spans="2:23" x14ac:dyDescent="0.45">
      <c r="B10" s="61" t="s">
        <v>35</v>
      </c>
      <c r="C10" s="17">
        <f t="shared" si="5"/>
        <v>0.01</v>
      </c>
      <c r="D10" s="17">
        <f t="shared" si="1"/>
        <v>6.5536000000000011E-2</v>
      </c>
      <c r="E10" s="17">
        <f t="shared" si="2"/>
        <v>8.3520999999999998E-2</v>
      </c>
      <c r="F10" s="17">
        <f t="shared" si="6"/>
        <v>0.01</v>
      </c>
      <c r="G10" s="47"/>
      <c r="H10" s="18"/>
      <c r="I10" s="18"/>
      <c r="J10" s="18"/>
      <c r="K10" s="50">
        <f>F10*K4*100</f>
        <v>30</v>
      </c>
      <c r="L10" s="18">
        <f>$F$10*(L4-(L3-$K$3))*100</f>
        <v>25</v>
      </c>
      <c r="M10" s="18">
        <f>$F$10*(M4-(M3-$K$3))*100</f>
        <v>20</v>
      </c>
      <c r="N10" s="48">
        <f t="shared" ref="N10:U10" si="8">$F$10*(N4-(N3-$K$3))*100</f>
        <v>15</v>
      </c>
      <c r="O10" s="47">
        <f t="shared" si="8"/>
        <v>-13</v>
      </c>
      <c r="P10" s="18">
        <f t="shared" si="8"/>
        <v>-16</v>
      </c>
      <c r="Q10" s="48">
        <f t="shared" si="8"/>
        <v>-19</v>
      </c>
      <c r="R10" s="47">
        <f t="shared" si="8"/>
        <v>-23</v>
      </c>
      <c r="S10" s="18">
        <f t="shared" si="8"/>
        <v>-25</v>
      </c>
      <c r="T10" s="18">
        <f t="shared" si="8"/>
        <v>-27</v>
      </c>
      <c r="U10" s="48">
        <f t="shared" si="8"/>
        <v>-28.999999999999996</v>
      </c>
      <c r="V10" s="62"/>
      <c r="W10" s="62"/>
    </row>
    <row r="11" spans="2:23" x14ac:dyDescent="0.45">
      <c r="B11" s="61" t="s">
        <v>36</v>
      </c>
      <c r="C11" s="17">
        <f t="shared" si="5"/>
        <v>0.01</v>
      </c>
      <c r="D11" s="17">
        <f t="shared" si="1"/>
        <v>0.10485760000000002</v>
      </c>
      <c r="E11" s="17">
        <f t="shared" si="2"/>
        <v>0.14198569999999999</v>
      </c>
      <c r="F11" s="17">
        <f t="shared" si="6"/>
        <v>0.01</v>
      </c>
      <c r="G11" s="47"/>
      <c r="H11" s="18"/>
      <c r="I11" s="18"/>
      <c r="J11" s="18"/>
      <c r="K11" s="18"/>
      <c r="L11" s="50">
        <f>F11*L4*100</f>
        <v>30</v>
      </c>
      <c r="M11" s="18">
        <f>$F$11*(M4-(M3-$L$3))*100</f>
        <v>25</v>
      </c>
      <c r="N11" s="48">
        <f>$F$11*(N4-(N3-$L$3))*100</f>
        <v>20</v>
      </c>
      <c r="O11" s="47">
        <f t="shared" ref="O11:U11" si="9">$F$11*(O4-(O3-$L$3))*100</f>
        <v>-8</v>
      </c>
      <c r="P11" s="18">
        <f t="shared" si="9"/>
        <v>-11</v>
      </c>
      <c r="Q11" s="48">
        <f t="shared" si="9"/>
        <v>-14.000000000000002</v>
      </c>
      <c r="R11" s="47">
        <f t="shared" si="9"/>
        <v>-18</v>
      </c>
      <c r="S11" s="18">
        <f t="shared" si="9"/>
        <v>-20</v>
      </c>
      <c r="T11" s="18">
        <f t="shared" si="9"/>
        <v>-22</v>
      </c>
      <c r="U11" s="48">
        <f t="shared" si="9"/>
        <v>-24</v>
      </c>
      <c r="V11" s="62"/>
      <c r="W11" s="62"/>
    </row>
    <row r="12" spans="2:23" x14ac:dyDescent="0.45">
      <c r="B12" s="61" t="s">
        <v>37</v>
      </c>
      <c r="C12" s="17">
        <f t="shared" si="5"/>
        <v>0.01</v>
      </c>
      <c r="D12" s="17">
        <f t="shared" si="1"/>
        <v>0.16777216000000006</v>
      </c>
      <c r="E12" s="17">
        <f t="shared" si="2"/>
        <v>0.24137568999999998</v>
      </c>
      <c r="F12" s="17">
        <v>0.01</v>
      </c>
      <c r="G12" s="47"/>
      <c r="H12" s="18"/>
      <c r="I12" s="18"/>
      <c r="J12" s="18"/>
      <c r="K12" s="18"/>
      <c r="L12" s="18"/>
      <c r="M12" s="50">
        <f>F12*M4*100</f>
        <v>30</v>
      </c>
      <c r="N12" s="48">
        <f>$F$12*(N4-(N3-$M$3))*100</f>
        <v>25</v>
      </c>
      <c r="O12" s="47">
        <f>$F$12*(O4-(O3-$M$3))*100</f>
        <v>-3</v>
      </c>
      <c r="P12" s="18">
        <f t="shared" ref="P12:U12" si="10">$F$12*(P4-(P3-$M$3))*100</f>
        <v>-6</v>
      </c>
      <c r="Q12" s="48">
        <f t="shared" si="10"/>
        <v>-9</v>
      </c>
      <c r="R12" s="47">
        <f t="shared" si="10"/>
        <v>-13</v>
      </c>
      <c r="S12" s="18">
        <f t="shared" si="10"/>
        <v>-15</v>
      </c>
      <c r="T12" s="18">
        <f t="shared" si="10"/>
        <v>-17</v>
      </c>
      <c r="U12" s="48">
        <f t="shared" si="10"/>
        <v>-19</v>
      </c>
      <c r="V12" s="62"/>
      <c r="W12" s="62"/>
    </row>
    <row r="13" spans="2:23" x14ac:dyDescent="0.45">
      <c r="B13" s="61" t="s">
        <v>38</v>
      </c>
      <c r="C13" s="17">
        <f t="shared" si="5"/>
        <v>0.01</v>
      </c>
      <c r="D13" s="17">
        <f t="shared" si="1"/>
        <v>0.26843545600000013</v>
      </c>
      <c r="E13" s="17">
        <f t="shared" si="2"/>
        <v>0.41033867299999993</v>
      </c>
      <c r="F13" s="17">
        <f t="shared" si="6"/>
        <v>0.01</v>
      </c>
      <c r="G13" s="47"/>
      <c r="H13" s="18"/>
      <c r="I13" s="18"/>
      <c r="J13" s="18"/>
      <c r="K13" s="18"/>
      <c r="L13" s="18"/>
      <c r="M13" s="18"/>
      <c r="N13" s="75">
        <f>F13*N4*100</f>
        <v>30</v>
      </c>
      <c r="O13" s="47">
        <f>$F$13*(O4-(O3-$N$3))*100</f>
        <v>2</v>
      </c>
      <c r="P13" s="18">
        <f>$F$13*(P4-(P3-$N$3))*100</f>
        <v>-1</v>
      </c>
      <c r="Q13" s="48">
        <f t="shared" ref="Q13:U13" si="11">$F$13*(Q4-(Q3-$N$3))*100</f>
        <v>-4</v>
      </c>
      <c r="R13" s="47">
        <f t="shared" si="11"/>
        <v>-8</v>
      </c>
      <c r="S13" s="18">
        <f t="shared" si="11"/>
        <v>-10</v>
      </c>
      <c r="T13" s="18">
        <f t="shared" si="11"/>
        <v>-12</v>
      </c>
      <c r="U13" s="48">
        <f t="shared" si="11"/>
        <v>-14.000000000000002</v>
      </c>
      <c r="V13" s="62"/>
      <c r="W13" s="62"/>
    </row>
    <row r="14" spans="2:23" x14ac:dyDescent="0.45">
      <c r="B14" s="61" t="s">
        <v>39</v>
      </c>
      <c r="C14" s="17">
        <f t="shared" si="5"/>
        <v>0.01</v>
      </c>
      <c r="D14" s="17">
        <f t="shared" si="1"/>
        <v>0.42949672960000024</v>
      </c>
      <c r="E14" s="17">
        <f t="shared" si="2"/>
        <v>0.69757574409999989</v>
      </c>
      <c r="F14" s="17">
        <v>0.43</v>
      </c>
      <c r="G14" s="47"/>
      <c r="H14" s="18"/>
      <c r="I14" s="18"/>
      <c r="J14" s="18"/>
      <c r="K14" s="18"/>
      <c r="L14" s="18"/>
      <c r="M14" s="18"/>
      <c r="N14" s="48"/>
      <c r="O14" s="74">
        <f>F14*O4*100</f>
        <v>215</v>
      </c>
      <c r="P14" s="18">
        <f>$F$14*(P4-(P3-$O$3))*100</f>
        <v>86</v>
      </c>
      <c r="Q14" s="48">
        <f>$F$14*(Q4-(Q3-$O$3))*100</f>
        <v>-43</v>
      </c>
      <c r="R14" s="47">
        <f t="shared" ref="R14:U14" si="12">$F$14*(R4-(R3-$O$3))*100</f>
        <v>-215</v>
      </c>
      <c r="S14" s="18">
        <f t="shared" si="12"/>
        <v>-301</v>
      </c>
      <c r="T14" s="18">
        <f t="shared" si="12"/>
        <v>-387</v>
      </c>
      <c r="U14" s="48">
        <f t="shared" si="12"/>
        <v>-472.99999999999994</v>
      </c>
      <c r="V14" s="62"/>
      <c r="W14" s="62"/>
    </row>
    <row r="15" spans="2:23" ht="14.1" customHeight="1" x14ac:dyDescent="0.45">
      <c r="B15" s="61" t="s">
        <v>40</v>
      </c>
      <c r="C15" s="17">
        <f t="shared" si="5"/>
        <v>0.01</v>
      </c>
      <c r="D15" s="17">
        <f t="shared" si="1"/>
        <v>0.6871947673600004</v>
      </c>
      <c r="E15" s="17">
        <f t="shared" si="2"/>
        <v>1.1858787649699998</v>
      </c>
      <c r="F15" s="17">
        <v>0.69</v>
      </c>
      <c r="G15" s="47"/>
      <c r="H15" s="18"/>
      <c r="I15" s="18"/>
      <c r="J15" s="18"/>
      <c r="K15" s="18"/>
      <c r="L15" s="18"/>
      <c r="M15" s="18"/>
      <c r="N15" s="48"/>
      <c r="O15" s="47"/>
      <c r="P15" s="50">
        <f>F15*P4*100</f>
        <v>345</v>
      </c>
      <c r="Q15" s="48">
        <f>$F$15*(Q4-(Q3-$P$3))*100</f>
        <v>138</v>
      </c>
      <c r="R15" s="47">
        <f>$F$15*(R4-(R3-$P$3))*100</f>
        <v>-138</v>
      </c>
      <c r="S15" s="18">
        <f t="shared" ref="S15:U15" si="13">$F$15*(S4-(S3-$P$3))*100</f>
        <v>-276</v>
      </c>
      <c r="T15" s="18">
        <f t="shared" si="13"/>
        <v>-413.99999999999994</v>
      </c>
      <c r="U15" s="48">
        <f t="shared" si="13"/>
        <v>-552</v>
      </c>
      <c r="V15" s="62"/>
      <c r="W15" s="62"/>
    </row>
    <row r="16" spans="2:23" x14ac:dyDescent="0.45">
      <c r="B16" s="61" t="s">
        <v>41</v>
      </c>
      <c r="C16" s="17">
        <f t="shared" si="5"/>
        <v>0.01</v>
      </c>
      <c r="D16" s="17">
        <f t="shared" si="1"/>
        <v>1.0995116277760006</v>
      </c>
      <c r="E16" s="17">
        <f t="shared" si="2"/>
        <v>2.0159939004489997</v>
      </c>
      <c r="F16" s="17">
        <v>1.1000000000000001</v>
      </c>
      <c r="G16" s="47"/>
      <c r="H16" s="18"/>
      <c r="I16" s="18"/>
      <c r="J16" s="18"/>
      <c r="K16" s="18"/>
      <c r="L16" s="18"/>
      <c r="M16" s="18"/>
      <c r="N16" s="48"/>
      <c r="O16" s="47"/>
      <c r="P16" s="18"/>
      <c r="Q16" s="75">
        <f>F16*Q4*100</f>
        <v>550</v>
      </c>
      <c r="R16" s="47">
        <f>$F$16*(R4-(R3-$Q$3))*100</f>
        <v>110.00000000000001</v>
      </c>
      <c r="S16" s="18">
        <f>$F$16*(S4-(S3-$Q$3))*100</f>
        <v>-110.00000000000001</v>
      </c>
      <c r="T16" s="18">
        <f t="shared" ref="T16:U16" si="14">$F$16*(T4-(T3-$Q$3))*100</f>
        <v>-330</v>
      </c>
      <c r="U16" s="48">
        <f t="shared" si="14"/>
        <v>-550</v>
      </c>
      <c r="V16" s="62"/>
      <c r="W16" s="62"/>
    </row>
    <row r="17" spans="2:26" x14ac:dyDescent="0.45">
      <c r="B17" s="61" t="s">
        <v>42</v>
      </c>
      <c r="C17" s="17">
        <f t="shared" si="5"/>
        <v>0.01</v>
      </c>
      <c r="D17" s="17">
        <f t="shared" si="1"/>
        <v>1.7592186044416012</v>
      </c>
      <c r="E17" s="17">
        <f t="shared" si="2"/>
        <v>3.4271896307632996</v>
      </c>
      <c r="F17" s="17">
        <v>1.76</v>
      </c>
      <c r="G17" s="47"/>
      <c r="H17" s="18"/>
      <c r="I17" s="18"/>
      <c r="J17" s="18"/>
      <c r="K17" s="18"/>
      <c r="L17" s="18"/>
      <c r="M17" s="18"/>
      <c r="N17" s="48"/>
      <c r="O17" s="47"/>
      <c r="P17" s="18"/>
      <c r="Q17" s="48"/>
      <c r="R17" s="74">
        <f>F17*R4*100</f>
        <v>528</v>
      </c>
      <c r="S17" s="18">
        <f>$F$17*(S4-(S3-$R$3))*100</f>
        <v>176</v>
      </c>
      <c r="T17" s="18">
        <f>$F$17*(T4-(T3-$R$3))*100</f>
        <v>-176</v>
      </c>
      <c r="U17" s="48">
        <f t="shared" ref="U17" si="15">$F$17*(U4-(U3-$R$3))*100</f>
        <v>-528</v>
      </c>
      <c r="V17" s="62"/>
      <c r="W17" s="62"/>
    </row>
    <row r="18" spans="2:26" x14ac:dyDescent="0.45">
      <c r="B18" s="61" t="s">
        <v>43</v>
      </c>
      <c r="C18" s="17">
        <f t="shared" si="5"/>
        <v>0.01</v>
      </c>
      <c r="D18" s="17">
        <f t="shared" si="1"/>
        <v>2.8147497671065622</v>
      </c>
      <c r="E18" s="17">
        <f t="shared" si="2"/>
        <v>5.8262223722976092</v>
      </c>
      <c r="F18" s="17">
        <v>5.83</v>
      </c>
      <c r="G18" s="47"/>
      <c r="H18" s="18"/>
      <c r="I18" s="18"/>
      <c r="J18" s="18"/>
      <c r="K18" s="18"/>
      <c r="L18" s="18"/>
      <c r="M18" s="18"/>
      <c r="N18" s="48"/>
      <c r="O18" s="47"/>
      <c r="P18" s="18"/>
      <c r="Q18" s="48"/>
      <c r="R18" s="47"/>
      <c r="S18" s="50">
        <f>F18*S4*100</f>
        <v>1749.0000000000002</v>
      </c>
      <c r="T18" s="18">
        <f>$F$18*(T4-(T3-$S$3))*100</f>
        <v>583</v>
      </c>
      <c r="U18" s="48">
        <f>$F$18*(U4-(U3-$S$3))*100</f>
        <v>-583</v>
      </c>
      <c r="V18" s="62"/>
      <c r="W18" s="62"/>
    </row>
    <row r="19" spans="2:26" x14ac:dyDescent="0.45">
      <c r="B19" s="61" t="s">
        <v>44</v>
      </c>
      <c r="C19" s="17">
        <f t="shared" si="5"/>
        <v>0.01</v>
      </c>
      <c r="D19" s="17">
        <f t="shared" si="1"/>
        <v>4.5035996273704999</v>
      </c>
      <c r="E19" s="17">
        <f t="shared" si="2"/>
        <v>9.9045780329059347</v>
      </c>
      <c r="F19" s="17">
        <v>9.9</v>
      </c>
      <c r="G19" s="47"/>
      <c r="H19" s="18"/>
      <c r="I19" s="18"/>
      <c r="J19" s="18"/>
      <c r="K19" s="18"/>
      <c r="L19" s="18"/>
      <c r="M19" s="18"/>
      <c r="N19" s="48"/>
      <c r="O19" s="47"/>
      <c r="P19" s="18"/>
      <c r="Q19" s="48"/>
      <c r="R19" s="47"/>
      <c r="S19" s="18"/>
      <c r="T19" s="50">
        <f>F19*T4*100</f>
        <v>2970.0000000000005</v>
      </c>
      <c r="U19" s="48">
        <f>$F$19*(U4-(U3-$T$3))*100</f>
        <v>990</v>
      </c>
      <c r="V19" s="62"/>
      <c r="W19" s="62"/>
    </row>
    <row r="20" spans="2:26" x14ac:dyDescent="0.45">
      <c r="B20" s="61" t="s">
        <v>45</v>
      </c>
      <c r="C20" s="17">
        <f t="shared" si="5"/>
        <v>0.01</v>
      </c>
      <c r="D20" s="17">
        <f t="shared" si="1"/>
        <v>7.2057594037928006</v>
      </c>
      <c r="E20" s="17">
        <f t="shared" si="2"/>
        <v>16.837782655940089</v>
      </c>
      <c r="F20" s="67">
        <v>16.84</v>
      </c>
      <c r="G20" s="76"/>
      <c r="H20" s="77"/>
      <c r="I20" s="77"/>
      <c r="J20" s="77"/>
      <c r="K20" s="77"/>
      <c r="L20" s="77"/>
      <c r="M20" s="77"/>
      <c r="N20" s="78"/>
      <c r="O20" s="76"/>
      <c r="P20" s="77"/>
      <c r="Q20" s="78"/>
      <c r="R20" s="76"/>
      <c r="S20" s="77"/>
      <c r="T20" s="77"/>
      <c r="U20" s="51">
        <f>F20*U4*100</f>
        <v>5052</v>
      </c>
      <c r="V20" s="62"/>
      <c r="W20" s="62"/>
    </row>
    <row r="21" spans="2:26" x14ac:dyDescent="0.45">
      <c r="F21" s="63">
        <f>SUM(F6:F20)</f>
        <v>36.629999999999995</v>
      </c>
      <c r="G21" s="79">
        <f>SUMIF(G5:G20, "&lt;0")</f>
        <v>0</v>
      </c>
      <c r="H21" s="80">
        <f t="shared" ref="H21:U21" si="16">SUMIF(H5:H20, "&lt;0")</f>
        <v>0</v>
      </c>
      <c r="I21" s="80">
        <f t="shared" si="16"/>
        <v>0</v>
      </c>
      <c r="J21" s="80">
        <f t="shared" si="16"/>
        <v>0</v>
      </c>
      <c r="K21" s="80">
        <f t="shared" si="16"/>
        <v>0</v>
      </c>
      <c r="L21" s="80">
        <f t="shared" si="16"/>
        <v>0</v>
      </c>
      <c r="M21" s="80">
        <f t="shared" si="16"/>
        <v>0</v>
      </c>
      <c r="N21" s="81">
        <f t="shared" si="16"/>
        <v>-5</v>
      </c>
      <c r="O21" s="79">
        <f t="shared" si="16"/>
        <v>-126</v>
      </c>
      <c r="P21" s="80">
        <f t="shared" si="16"/>
        <v>-148</v>
      </c>
      <c r="Q21" s="81">
        <f t="shared" si="16"/>
        <v>-215</v>
      </c>
      <c r="R21" s="79">
        <f t="shared" si="16"/>
        <v>-557</v>
      </c>
      <c r="S21" s="80">
        <f t="shared" si="16"/>
        <v>-907</v>
      </c>
      <c r="T21" s="80">
        <f t="shared" si="16"/>
        <v>-1543</v>
      </c>
      <c r="U21" s="81">
        <f t="shared" si="16"/>
        <v>-2938</v>
      </c>
      <c r="V21" s="62"/>
      <c r="W21" s="62"/>
    </row>
    <row r="22" spans="2:26" x14ac:dyDescent="0.45">
      <c r="F22" s="57"/>
      <c r="G22" s="79">
        <f t="shared" ref="G22:U22" si="17">SUM(G6:G20)</f>
        <v>30</v>
      </c>
      <c r="H22" s="80">
        <f t="shared" si="17"/>
        <v>55</v>
      </c>
      <c r="I22" s="80">
        <f t="shared" si="17"/>
        <v>75</v>
      </c>
      <c r="J22" s="80">
        <f t="shared" si="17"/>
        <v>90</v>
      </c>
      <c r="K22" s="80">
        <f t="shared" si="17"/>
        <v>100</v>
      </c>
      <c r="L22" s="80">
        <f t="shared" si="17"/>
        <v>105</v>
      </c>
      <c r="M22" s="80">
        <f t="shared" si="17"/>
        <v>105</v>
      </c>
      <c r="N22" s="81">
        <f t="shared" si="17"/>
        <v>100</v>
      </c>
      <c r="O22" s="79">
        <f t="shared" si="17"/>
        <v>91</v>
      </c>
      <c r="P22" s="80">
        <f t="shared" si="17"/>
        <v>283</v>
      </c>
      <c r="Q22" s="81">
        <f t="shared" si="17"/>
        <v>473</v>
      </c>
      <c r="R22" s="79">
        <f t="shared" si="17"/>
        <v>81</v>
      </c>
      <c r="S22" s="80">
        <f t="shared" si="17"/>
        <v>1018.0000000000002</v>
      </c>
      <c r="T22" s="80">
        <f t="shared" si="17"/>
        <v>2010.0000000000005</v>
      </c>
      <c r="U22" s="81">
        <f t="shared" si="17"/>
        <v>3104</v>
      </c>
      <c r="V22" s="62"/>
      <c r="W22" s="62"/>
    </row>
    <row r="23" spans="2:26" x14ac:dyDescent="0.45">
      <c r="F23" s="57"/>
      <c r="G23" s="62"/>
    </row>
    <row r="24" spans="2:26" x14ac:dyDescent="0.45">
      <c r="F24" s="57"/>
    </row>
    <row r="25" spans="2:26" x14ac:dyDescent="0.45">
      <c r="F25" s="57"/>
    </row>
    <row r="26" spans="2:26" x14ac:dyDescent="0.45">
      <c r="F26" s="57"/>
      <c r="W26" s="62"/>
    </row>
    <row r="27" spans="2:26" x14ac:dyDescent="0.45">
      <c r="F27" s="57"/>
    </row>
    <row r="28" spans="2:26" x14ac:dyDescent="0.45">
      <c r="F28" s="57"/>
    </row>
    <row r="29" spans="2:26" x14ac:dyDescent="0.45">
      <c r="F29" s="57"/>
    </row>
    <row r="30" spans="2:26" x14ac:dyDescent="0.45">
      <c r="G30" s="57">
        <v>1</v>
      </c>
      <c r="H30" s="57">
        <v>2</v>
      </c>
      <c r="I30" s="57">
        <v>3</v>
      </c>
      <c r="J30" s="57">
        <v>4</v>
      </c>
      <c r="K30" s="57">
        <v>5</v>
      </c>
      <c r="L30" s="57">
        <v>6</v>
      </c>
      <c r="M30" s="57">
        <v>7</v>
      </c>
      <c r="N30" s="57">
        <v>8</v>
      </c>
      <c r="O30" s="57">
        <v>9</v>
      </c>
      <c r="P30" s="57">
        <v>10</v>
      </c>
      <c r="Q30" s="57">
        <v>11</v>
      </c>
      <c r="R30" s="57">
        <v>12</v>
      </c>
      <c r="S30" s="57">
        <v>13</v>
      </c>
      <c r="T30" s="57">
        <v>14</v>
      </c>
      <c r="U30" s="57">
        <v>15</v>
      </c>
      <c r="V30" s="57">
        <v>16</v>
      </c>
      <c r="W30" s="57">
        <v>17</v>
      </c>
      <c r="X30" s="57">
        <v>18</v>
      </c>
      <c r="Y30" s="57">
        <v>19</v>
      </c>
      <c r="Z30" s="57">
        <v>20</v>
      </c>
    </row>
    <row r="31" spans="2:26" x14ac:dyDescent="0.45">
      <c r="F31" s="62">
        <v>1</v>
      </c>
      <c r="G31" s="122">
        <v>200</v>
      </c>
      <c r="H31" s="122">
        <f>G31*1.05</f>
        <v>210</v>
      </c>
      <c r="I31" s="122">
        <f t="shared" ref="I31:Z31" si="18">H31*1.05</f>
        <v>220.5</v>
      </c>
      <c r="J31" s="122">
        <f t="shared" si="18"/>
        <v>231.52500000000001</v>
      </c>
      <c r="K31" s="122">
        <f t="shared" si="18"/>
        <v>243.10125000000002</v>
      </c>
      <c r="L31" s="122">
        <f t="shared" si="18"/>
        <v>255.25631250000004</v>
      </c>
      <c r="M31" s="122">
        <f t="shared" si="18"/>
        <v>268.01912812500007</v>
      </c>
      <c r="N31" s="122">
        <f t="shared" si="18"/>
        <v>281.4200845312501</v>
      </c>
      <c r="O31" s="122">
        <f t="shared" si="18"/>
        <v>295.49108875781263</v>
      </c>
      <c r="P31" s="122">
        <f t="shared" si="18"/>
        <v>310.26564319570326</v>
      </c>
      <c r="Q31" s="122">
        <f t="shared" si="18"/>
        <v>325.77892535548841</v>
      </c>
      <c r="R31" s="122">
        <f t="shared" si="18"/>
        <v>342.06787162326287</v>
      </c>
      <c r="S31" s="122">
        <f t="shared" si="18"/>
        <v>359.17126520442605</v>
      </c>
      <c r="T31" s="122">
        <f t="shared" si="18"/>
        <v>377.12982846464735</v>
      </c>
      <c r="U31" s="122">
        <f t="shared" si="18"/>
        <v>395.98631988787974</v>
      </c>
      <c r="V31" s="122">
        <f t="shared" si="18"/>
        <v>415.78563588227377</v>
      </c>
      <c r="W31" s="122">
        <f t="shared" si="18"/>
        <v>436.57491767638749</v>
      </c>
      <c r="X31" s="122">
        <f t="shared" si="18"/>
        <v>458.40366356020689</v>
      </c>
      <c r="Y31" s="122">
        <f t="shared" si="18"/>
        <v>481.32384673821724</v>
      </c>
      <c r="Z31" s="122">
        <f t="shared" si="18"/>
        <v>505.39003907512813</v>
      </c>
    </row>
    <row r="32" spans="2:26" x14ac:dyDescent="0.45">
      <c r="F32" s="62">
        <v>2</v>
      </c>
      <c r="G32" s="122">
        <v>500</v>
      </c>
      <c r="H32" s="122">
        <f>G32*1.05</f>
        <v>525</v>
      </c>
      <c r="I32" s="122">
        <f t="shared" ref="I32:Z32" si="19">H32*1.05</f>
        <v>551.25</v>
      </c>
      <c r="J32" s="122">
        <f t="shared" si="19"/>
        <v>578.8125</v>
      </c>
      <c r="K32" s="122">
        <f t="shared" si="19"/>
        <v>607.75312500000007</v>
      </c>
      <c r="L32" s="122">
        <f t="shared" si="19"/>
        <v>638.14078125000015</v>
      </c>
      <c r="M32" s="122">
        <f t="shared" si="19"/>
        <v>670.04782031250022</v>
      </c>
      <c r="N32" s="122">
        <f t="shared" si="19"/>
        <v>703.55021132812522</v>
      </c>
      <c r="O32" s="122">
        <f t="shared" si="19"/>
        <v>738.72772189453156</v>
      </c>
      <c r="P32" s="122">
        <f t="shared" si="19"/>
        <v>775.66410798925813</v>
      </c>
      <c r="Q32" s="122">
        <f t="shared" si="19"/>
        <v>814.44731338872111</v>
      </c>
      <c r="R32" s="122">
        <f t="shared" si="19"/>
        <v>855.16967905815716</v>
      </c>
      <c r="S32" s="122">
        <f t="shared" si="19"/>
        <v>897.92816301106507</v>
      </c>
      <c r="T32" s="122">
        <f t="shared" si="19"/>
        <v>942.82457116161834</v>
      </c>
      <c r="U32" s="122">
        <f t="shared" si="19"/>
        <v>989.96579971969925</v>
      </c>
      <c r="V32" s="122">
        <f t="shared" si="19"/>
        <v>1039.4640897056843</v>
      </c>
      <c r="W32" s="122">
        <f t="shared" si="19"/>
        <v>1091.4372941909685</v>
      </c>
      <c r="X32" s="122">
        <f t="shared" si="19"/>
        <v>1146.0091589005169</v>
      </c>
      <c r="Y32" s="122">
        <f t="shared" si="19"/>
        <v>1203.3096168455429</v>
      </c>
      <c r="Z32" s="122">
        <f t="shared" si="19"/>
        <v>1263.4750976878202</v>
      </c>
    </row>
    <row r="33" spans="6:26" x14ac:dyDescent="0.45">
      <c r="F33" s="62">
        <v>3</v>
      </c>
      <c r="G33" s="122">
        <v>1200</v>
      </c>
      <c r="H33" s="122">
        <f>G33*1.05</f>
        <v>1260</v>
      </c>
      <c r="I33" s="122">
        <f t="shared" ref="I33:Z33" si="20">H33*1.05</f>
        <v>1323</v>
      </c>
      <c r="J33" s="122">
        <f t="shared" si="20"/>
        <v>1389.15</v>
      </c>
      <c r="K33" s="122">
        <f t="shared" si="20"/>
        <v>1458.6075000000001</v>
      </c>
      <c r="L33" s="122">
        <f t="shared" si="20"/>
        <v>1531.5378750000002</v>
      </c>
      <c r="M33" s="122">
        <f t="shared" si="20"/>
        <v>1608.1147687500004</v>
      </c>
      <c r="N33" s="122">
        <f t="shared" si="20"/>
        <v>1688.5205071875005</v>
      </c>
      <c r="O33" s="122">
        <f t="shared" si="20"/>
        <v>1772.9465325468755</v>
      </c>
      <c r="P33" s="122">
        <f t="shared" si="20"/>
        <v>1861.5938591742192</v>
      </c>
      <c r="Q33" s="122">
        <f t="shared" si="20"/>
        <v>1954.6735521329304</v>
      </c>
      <c r="R33" s="122">
        <f t="shared" si="20"/>
        <v>2052.4072297395769</v>
      </c>
      <c r="S33" s="122">
        <f t="shared" si="20"/>
        <v>2155.0275912265561</v>
      </c>
      <c r="T33" s="122">
        <f t="shared" si="20"/>
        <v>2262.7789707878842</v>
      </c>
      <c r="U33" s="122">
        <f t="shared" si="20"/>
        <v>2375.9179193272785</v>
      </c>
      <c r="V33" s="122">
        <f t="shared" si="20"/>
        <v>2494.7138152936427</v>
      </c>
      <c r="W33" s="122">
        <f t="shared" si="20"/>
        <v>2619.4495060583249</v>
      </c>
      <c r="X33" s="122">
        <f t="shared" si="20"/>
        <v>2750.4219813612413</v>
      </c>
      <c r="Y33" s="122">
        <f t="shared" si="20"/>
        <v>2887.9430804293033</v>
      </c>
      <c r="Z33" s="122">
        <f t="shared" si="20"/>
        <v>3032.3402344507685</v>
      </c>
    </row>
    <row r="34" spans="6:26" x14ac:dyDescent="0.45">
      <c r="F34" s="62">
        <v>4</v>
      </c>
      <c r="G34" s="122">
        <v>3000</v>
      </c>
      <c r="H34" s="122">
        <f>G34*1.05</f>
        <v>3150</v>
      </c>
      <c r="I34" s="122">
        <f t="shared" ref="I34:Z34" si="21">H34*1.05</f>
        <v>3307.5</v>
      </c>
      <c r="J34" s="122">
        <f t="shared" si="21"/>
        <v>3472.875</v>
      </c>
      <c r="K34" s="122">
        <f t="shared" si="21"/>
        <v>3646.5187500000002</v>
      </c>
      <c r="L34" s="122">
        <f t="shared" si="21"/>
        <v>3828.8446875000004</v>
      </c>
      <c r="M34" s="122">
        <f t="shared" si="21"/>
        <v>4020.2869218750006</v>
      </c>
      <c r="N34" s="122">
        <f t="shared" si="21"/>
        <v>4221.3012679687508</v>
      </c>
      <c r="O34" s="122">
        <f t="shared" si="21"/>
        <v>4432.3663313671886</v>
      </c>
      <c r="P34" s="122">
        <f t="shared" si="21"/>
        <v>4653.9846479355483</v>
      </c>
      <c r="Q34" s="122">
        <f t="shared" si="21"/>
        <v>4886.6838803323262</v>
      </c>
      <c r="R34" s="122">
        <f t="shared" si="21"/>
        <v>5131.0180743489427</v>
      </c>
      <c r="S34" s="122">
        <f t="shared" si="21"/>
        <v>5387.5689780663897</v>
      </c>
      <c r="T34" s="122">
        <f t="shared" si="21"/>
        <v>5656.9474269697093</v>
      </c>
      <c r="U34" s="122">
        <f t="shared" si="21"/>
        <v>5939.7947983181948</v>
      </c>
      <c r="V34" s="122">
        <f t="shared" si="21"/>
        <v>6236.7845382341047</v>
      </c>
      <c r="W34" s="122">
        <f t="shared" si="21"/>
        <v>6548.6237651458105</v>
      </c>
      <c r="X34" s="122">
        <f t="shared" si="21"/>
        <v>6876.0549534031015</v>
      </c>
      <c r="Y34" s="122">
        <f t="shared" si="21"/>
        <v>7219.857701073257</v>
      </c>
      <c r="Z34" s="122">
        <f t="shared" si="21"/>
        <v>7580.8505861269205</v>
      </c>
    </row>
    <row r="35" spans="6:26" x14ac:dyDescent="0.45">
      <c r="F35" s="62">
        <v>5</v>
      </c>
      <c r="G35" s="122">
        <v>7500</v>
      </c>
      <c r="H35" s="122">
        <f>G35*1.05</f>
        <v>7875</v>
      </c>
      <c r="I35" s="122">
        <f t="shared" ref="I35:Z38" si="22">H35*1.05</f>
        <v>8268.75</v>
      </c>
      <c r="J35" s="122">
        <f t="shared" si="22"/>
        <v>8682.1875</v>
      </c>
      <c r="K35" s="122">
        <f t="shared" si="22"/>
        <v>9116.296875</v>
      </c>
      <c r="L35" s="122">
        <f t="shared" si="22"/>
        <v>9572.1117187500004</v>
      </c>
      <c r="M35" s="122">
        <f t="shared" si="22"/>
        <v>10050.717304687501</v>
      </c>
      <c r="N35" s="122">
        <f t="shared" si="22"/>
        <v>10553.253169921876</v>
      </c>
      <c r="O35" s="122">
        <f t="shared" si="22"/>
        <v>11080.91582841797</v>
      </c>
      <c r="P35" s="122">
        <f t="shared" si="22"/>
        <v>11634.961619838869</v>
      </c>
      <c r="Q35" s="122">
        <f t="shared" si="22"/>
        <v>12216.709700830812</v>
      </c>
      <c r="R35" s="122">
        <f t="shared" si="22"/>
        <v>12827.545185872354</v>
      </c>
      <c r="S35" s="122">
        <f t="shared" si="22"/>
        <v>13468.922445165972</v>
      </c>
      <c r="T35" s="122">
        <f t="shared" si="22"/>
        <v>14142.368567424272</v>
      </c>
      <c r="U35" s="122">
        <f t="shared" si="22"/>
        <v>14849.486995795485</v>
      </c>
      <c r="V35" s="122">
        <f t="shared" si="22"/>
        <v>15591.96134558526</v>
      </c>
      <c r="W35" s="122">
        <f t="shared" si="22"/>
        <v>16371.559412864523</v>
      </c>
      <c r="X35" s="122">
        <f t="shared" si="22"/>
        <v>17190.13738350775</v>
      </c>
      <c r="Y35" s="122">
        <f t="shared" si="22"/>
        <v>18049.644252683138</v>
      </c>
      <c r="Z35" s="122">
        <f t="shared" si="22"/>
        <v>18952.126465317295</v>
      </c>
    </row>
    <row r="36" spans="6:26" x14ac:dyDescent="0.45">
      <c r="F36" s="62">
        <v>6</v>
      </c>
      <c r="G36" s="122">
        <v>18000</v>
      </c>
      <c r="H36" s="122">
        <f t="shared" ref="H36:W38" si="23">G36*1.05</f>
        <v>18900</v>
      </c>
      <c r="I36" s="122">
        <f t="shared" si="23"/>
        <v>19845</v>
      </c>
      <c r="J36" s="122">
        <f t="shared" si="23"/>
        <v>20837.25</v>
      </c>
      <c r="K36" s="122">
        <f t="shared" si="23"/>
        <v>21879.112499999999</v>
      </c>
      <c r="L36" s="122">
        <f t="shared" si="23"/>
        <v>22973.068125000002</v>
      </c>
      <c r="M36" s="122">
        <f t="shared" si="23"/>
        <v>24121.721531250001</v>
      </c>
      <c r="N36" s="122">
        <f t="shared" si="23"/>
        <v>25327.807607812501</v>
      </c>
      <c r="O36" s="122">
        <f t="shared" si="23"/>
        <v>26594.197988203126</v>
      </c>
      <c r="P36" s="122">
        <f t="shared" si="23"/>
        <v>27923.907887613284</v>
      </c>
      <c r="Q36" s="122">
        <f t="shared" si="23"/>
        <v>29320.10328199395</v>
      </c>
      <c r="R36" s="122">
        <f t="shared" si="23"/>
        <v>30786.108446093647</v>
      </c>
      <c r="S36" s="122">
        <f t="shared" si="23"/>
        <v>32325.413868398329</v>
      </c>
      <c r="T36" s="122">
        <f t="shared" si="23"/>
        <v>33941.684561818249</v>
      </c>
      <c r="U36" s="122">
        <f t="shared" si="23"/>
        <v>35638.768789909162</v>
      </c>
      <c r="V36" s="122">
        <f t="shared" si="23"/>
        <v>37420.707229404623</v>
      </c>
      <c r="W36" s="122">
        <f t="shared" si="23"/>
        <v>39291.742590874856</v>
      </c>
      <c r="X36" s="122">
        <f t="shared" si="22"/>
        <v>41256.329720418602</v>
      </c>
      <c r="Y36" s="122">
        <f t="shared" si="22"/>
        <v>43319.146206439531</v>
      </c>
      <c r="Z36" s="122">
        <f t="shared" si="22"/>
        <v>45485.103516761512</v>
      </c>
    </row>
    <row r="37" spans="6:26" x14ac:dyDescent="0.45">
      <c r="F37" s="62">
        <v>7</v>
      </c>
      <c r="G37" s="122">
        <v>45000</v>
      </c>
      <c r="H37" s="122">
        <f t="shared" si="23"/>
        <v>47250</v>
      </c>
      <c r="I37" s="122">
        <f t="shared" si="22"/>
        <v>49612.5</v>
      </c>
      <c r="J37" s="122">
        <f t="shared" si="22"/>
        <v>52093.125</v>
      </c>
      <c r="K37" s="122">
        <f t="shared" si="22"/>
        <v>54697.78125</v>
      </c>
      <c r="L37" s="122">
        <f t="shared" si="22"/>
        <v>57432.670312500006</v>
      </c>
      <c r="M37" s="122">
        <f t="shared" si="22"/>
        <v>60304.303828125012</v>
      </c>
      <c r="N37" s="122">
        <f t="shared" si="22"/>
        <v>63319.519019531268</v>
      </c>
      <c r="O37" s="122">
        <f t="shared" si="22"/>
        <v>66485.494970507832</v>
      </c>
      <c r="P37" s="122">
        <f t="shared" si="22"/>
        <v>69809.769719033226</v>
      </c>
      <c r="Q37" s="122">
        <f t="shared" si="22"/>
        <v>73300.258204984886</v>
      </c>
      <c r="R37" s="122">
        <f t="shared" si="22"/>
        <v>76965.271115234136</v>
      </c>
      <c r="S37" s="122">
        <f t="shared" si="22"/>
        <v>80813.534670995839</v>
      </c>
      <c r="T37" s="122">
        <f t="shared" si="22"/>
        <v>84854.21140454564</v>
      </c>
      <c r="U37" s="122">
        <f t="shared" si="22"/>
        <v>89096.921974772922</v>
      </c>
      <c r="V37" s="122">
        <f t="shared" si="22"/>
        <v>93551.768073511572</v>
      </c>
      <c r="W37" s="122">
        <f t="shared" si="22"/>
        <v>98229.356477187161</v>
      </c>
      <c r="X37" s="122">
        <f t="shared" si="22"/>
        <v>103140.82430104652</v>
      </c>
      <c r="Y37" s="122">
        <f t="shared" si="22"/>
        <v>108297.86551609886</v>
      </c>
      <c r="Z37" s="122">
        <f t="shared" si="22"/>
        <v>113712.75879190381</v>
      </c>
    </row>
    <row r="38" spans="6:26" x14ac:dyDescent="0.45">
      <c r="F38" s="62">
        <v>8</v>
      </c>
      <c r="G38" s="122">
        <v>100000</v>
      </c>
      <c r="H38" s="122">
        <f t="shared" si="23"/>
        <v>105000</v>
      </c>
      <c r="I38" s="122">
        <f t="shared" si="22"/>
        <v>110250</v>
      </c>
      <c r="J38" s="122">
        <f t="shared" si="22"/>
        <v>115762.5</v>
      </c>
      <c r="K38" s="122">
        <f t="shared" si="22"/>
        <v>121550.625</v>
      </c>
      <c r="L38" s="122">
        <f t="shared" si="22"/>
        <v>127628.15625</v>
      </c>
      <c r="M38" s="122">
        <f t="shared" si="22"/>
        <v>134009.56406249999</v>
      </c>
      <c r="N38" s="122">
        <f t="shared" si="22"/>
        <v>140710.042265625</v>
      </c>
      <c r="O38" s="122">
        <f t="shared" si="22"/>
        <v>147745.54437890626</v>
      </c>
      <c r="P38" s="122">
        <f t="shared" si="22"/>
        <v>155132.82159785158</v>
      </c>
      <c r="Q38" s="122">
        <f t="shared" si="22"/>
        <v>162889.46267774416</v>
      </c>
      <c r="R38" s="122">
        <f t="shared" si="22"/>
        <v>171033.93581163138</v>
      </c>
      <c r="S38" s="122">
        <f t="shared" si="22"/>
        <v>179585.63260221295</v>
      </c>
      <c r="T38" s="122">
        <f t="shared" si="22"/>
        <v>188564.91423232362</v>
      </c>
      <c r="U38" s="122">
        <f t="shared" si="22"/>
        <v>197993.1599439398</v>
      </c>
      <c r="V38" s="122">
        <f t="shared" si="22"/>
        <v>207892.8179411368</v>
      </c>
      <c r="W38" s="122">
        <f t="shared" si="22"/>
        <v>218287.45883819365</v>
      </c>
      <c r="X38" s="122">
        <f t="shared" si="22"/>
        <v>229201.83178010333</v>
      </c>
      <c r="Y38" s="122">
        <f t="shared" si="22"/>
        <v>240661.9233691085</v>
      </c>
      <c r="Z38" s="122">
        <f t="shared" si="22"/>
        <v>252695.01953756393</v>
      </c>
    </row>
    <row r="42" spans="6:26" x14ac:dyDescent="0.45">
      <c r="G42" s="57">
        <v>1</v>
      </c>
      <c r="H42" s="57">
        <v>2</v>
      </c>
      <c r="I42" s="57">
        <v>3</v>
      </c>
      <c r="J42" s="57">
        <v>4</v>
      </c>
      <c r="K42" s="57">
        <v>5</v>
      </c>
      <c r="L42" s="57">
        <v>6</v>
      </c>
      <c r="M42" s="57">
        <v>7</v>
      </c>
      <c r="N42" s="57">
        <v>8</v>
      </c>
      <c r="O42" s="57">
        <v>9</v>
      </c>
      <c r="P42" s="57">
        <v>10</v>
      </c>
      <c r="Q42" s="57">
        <v>11</v>
      </c>
      <c r="R42" s="57">
        <v>12</v>
      </c>
      <c r="S42" s="57">
        <v>13</v>
      </c>
      <c r="T42" s="57">
        <v>14</v>
      </c>
      <c r="U42" s="57">
        <v>15</v>
      </c>
    </row>
    <row r="43" spans="6:26" x14ac:dyDescent="0.45">
      <c r="G43" s="57">
        <v>30</v>
      </c>
      <c r="H43" s="57">
        <v>30</v>
      </c>
      <c r="I43" s="57">
        <v>30</v>
      </c>
      <c r="J43" s="57">
        <v>30</v>
      </c>
      <c r="K43" s="57">
        <v>30</v>
      </c>
      <c r="L43" s="57">
        <v>30</v>
      </c>
      <c r="M43" s="57">
        <v>30</v>
      </c>
      <c r="N43" s="57">
        <v>30</v>
      </c>
      <c r="O43" s="57">
        <v>30</v>
      </c>
      <c r="P43" s="57">
        <v>30</v>
      </c>
      <c r="Q43" s="57">
        <v>30</v>
      </c>
      <c r="R43" s="57">
        <v>30</v>
      </c>
      <c r="S43" s="57">
        <v>30</v>
      </c>
      <c r="T43" s="57">
        <v>30</v>
      </c>
      <c r="U43" s="57">
        <v>30</v>
      </c>
    </row>
    <row r="44" spans="6:26" x14ac:dyDescent="0.45">
      <c r="G44" s="57">
        <v>10</v>
      </c>
      <c r="H44" s="57">
        <f>$G44*H42</f>
        <v>20</v>
      </c>
      <c r="I44" s="57">
        <f t="shared" ref="I44:U44" si="24">$G44*I42</f>
        <v>30</v>
      </c>
      <c r="J44" s="57">
        <f t="shared" si="24"/>
        <v>40</v>
      </c>
      <c r="K44" s="57">
        <f t="shared" si="24"/>
        <v>50</v>
      </c>
      <c r="L44" s="57">
        <f t="shared" si="24"/>
        <v>60</v>
      </c>
      <c r="M44" s="57">
        <f t="shared" si="24"/>
        <v>70</v>
      </c>
      <c r="N44" s="57">
        <f t="shared" si="24"/>
        <v>80</v>
      </c>
      <c r="O44" s="57">
        <f t="shared" si="24"/>
        <v>90</v>
      </c>
      <c r="P44" s="57">
        <f t="shared" si="24"/>
        <v>100</v>
      </c>
      <c r="Q44" s="57">
        <f t="shared" si="24"/>
        <v>110</v>
      </c>
      <c r="R44" s="57">
        <f t="shared" si="24"/>
        <v>120</v>
      </c>
      <c r="S44" s="57">
        <f t="shared" si="24"/>
        <v>130</v>
      </c>
      <c r="T44" s="57">
        <f t="shared" si="24"/>
        <v>140</v>
      </c>
      <c r="U44" s="57">
        <f t="shared" si="24"/>
        <v>150</v>
      </c>
    </row>
    <row r="45" spans="6:26" x14ac:dyDescent="0.45">
      <c r="G45" s="123">
        <f>SUM(G43:G44)</f>
        <v>40</v>
      </c>
      <c r="H45" s="123">
        <f t="shared" ref="H45:U45" si="25">SUM(H43:H44)</f>
        <v>50</v>
      </c>
      <c r="I45" s="123">
        <f t="shared" si="25"/>
        <v>60</v>
      </c>
      <c r="J45" s="123">
        <f t="shared" si="25"/>
        <v>70</v>
      </c>
      <c r="K45" s="123">
        <f t="shared" si="25"/>
        <v>80</v>
      </c>
      <c r="L45" s="123">
        <f t="shared" si="25"/>
        <v>90</v>
      </c>
      <c r="M45" s="123">
        <f t="shared" si="25"/>
        <v>100</v>
      </c>
      <c r="N45" s="123">
        <f t="shared" si="25"/>
        <v>110</v>
      </c>
      <c r="O45" s="123">
        <f t="shared" si="25"/>
        <v>120</v>
      </c>
      <c r="P45" s="123">
        <f t="shared" si="25"/>
        <v>130</v>
      </c>
      <c r="Q45" s="123">
        <f t="shared" si="25"/>
        <v>140</v>
      </c>
      <c r="R45" s="123">
        <f t="shared" si="25"/>
        <v>150</v>
      </c>
      <c r="S45" s="123">
        <f t="shared" si="25"/>
        <v>160</v>
      </c>
      <c r="T45" s="123">
        <f t="shared" si="25"/>
        <v>170</v>
      </c>
      <c r="U45" s="123">
        <f t="shared" si="25"/>
        <v>180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B1:D1"/>
    <mergeCell ref="B2:D2"/>
    <mergeCell ref="B3:D3"/>
    <mergeCell ref="B4:D4"/>
  </mergeCells>
  <phoneticPr fontId="7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U56"/>
  <sheetViews>
    <sheetView topLeftCell="B228" zoomScaleNormal="100" workbookViewId="0">
      <selection activeCell="Y255" sqref="Y255"/>
    </sheetView>
  </sheetViews>
  <sheetFormatPr defaultRowHeight="18" x14ac:dyDescent="0.45"/>
  <sheetData>
    <row r="3" spans="2:47" x14ac:dyDescent="0.45">
      <c r="B3" t="s">
        <v>54</v>
      </c>
      <c r="E3" t="s">
        <v>55</v>
      </c>
      <c r="G3" t="s">
        <v>60</v>
      </c>
      <c r="M3" t="s">
        <v>56</v>
      </c>
      <c r="O3" t="s">
        <v>61</v>
      </c>
      <c r="X3" t="s">
        <v>57</v>
      </c>
      <c r="Y3" t="s">
        <v>62</v>
      </c>
      <c r="AI3" t="s">
        <v>58</v>
      </c>
      <c r="AJ3" t="s">
        <v>59</v>
      </c>
      <c r="AT3" t="s">
        <v>63</v>
      </c>
      <c r="AU3">
        <v>107.7</v>
      </c>
    </row>
    <row r="56" spans="2:38" x14ac:dyDescent="0.45">
      <c r="B56" t="s">
        <v>64</v>
      </c>
      <c r="D56" t="s">
        <v>65</v>
      </c>
      <c r="M56" t="s">
        <v>66</v>
      </c>
      <c r="O56" t="s">
        <v>67</v>
      </c>
      <c r="X56" t="s">
        <v>68</v>
      </c>
      <c r="Z56" t="s">
        <v>69</v>
      </c>
      <c r="AI56" t="s">
        <v>70</v>
      </c>
      <c r="AJ56" t="s">
        <v>64</v>
      </c>
      <c r="AL56" t="s">
        <v>65</v>
      </c>
    </row>
  </sheetData>
  <phoneticPr fontId="7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K169:L169"/>
  <sheetViews>
    <sheetView topLeftCell="A182" workbookViewId="0">
      <selection activeCell="AA165" sqref="AA165"/>
    </sheetView>
  </sheetViews>
  <sheetFormatPr defaultRowHeight="18" x14ac:dyDescent="0.45"/>
  <sheetData>
    <row r="169" spans="11:12" x14ac:dyDescent="0.45">
      <c r="K169">
        <v>2149.9029999999998</v>
      </c>
      <c r="L169">
        <v>2159.9029999999998</v>
      </c>
    </row>
  </sheetData>
  <phoneticPr fontId="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Bảng Input L30</vt:lpstr>
      <vt:lpstr>GBPJPY</vt:lpstr>
      <vt:lpstr>Thay đổi hệ số quãng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2023-10-25T17:11:07Z</dcterms:created>
  <dcterms:modified xsi:type="dcterms:W3CDTF">2024-04-24T09:34:14Z</dcterms:modified>
</cp:coreProperties>
</file>