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-108" yWindow="-108" windowWidth="41496" windowHeight="16896"/>
  </bookViews>
  <sheets>
    <sheet name="Bảng Input L30" sheetId="2" r:id="rId1"/>
    <sheet name="Tính TP thay đổi hệ số, quãng" sheetId="7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J8" i="2" l="1"/>
  <c r="K8" i="2"/>
  <c r="L7" i="2"/>
  <c r="C3" i="2"/>
  <c r="C4" i="2" s="1"/>
  <c r="C5" i="2" s="1"/>
  <c r="C6" i="2" s="1"/>
  <c r="C7" i="2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L8" i="2" l="1"/>
  <c r="M7" i="2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H11" i="2" l="1"/>
  <c r="N11" i="2" s="1"/>
  <c r="N7" i="2"/>
  <c r="M8" i="2"/>
  <c r="J11" i="2"/>
  <c r="R11" i="2"/>
  <c r="O11" i="2"/>
  <c r="S11" i="2"/>
  <c r="I28" i="2"/>
  <c r="U11" i="2"/>
  <c r="I11" i="2"/>
  <c r="I27" i="2" s="1"/>
  <c r="L11" i="7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T11" i="2" l="1"/>
  <c r="H12" i="2"/>
  <c r="M11" i="2"/>
  <c r="P11" i="2"/>
  <c r="Q11" i="2"/>
  <c r="K11" i="2"/>
  <c r="L11" i="2"/>
  <c r="W11" i="2"/>
  <c r="X11" i="2"/>
  <c r="V11" i="2"/>
  <c r="O7" i="2"/>
  <c r="N8" i="2"/>
  <c r="J28" i="2"/>
  <c r="J12" i="2"/>
  <c r="J27" i="2" s="1"/>
  <c r="N12" i="2"/>
  <c r="R12" i="2"/>
  <c r="V12" i="2"/>
  <c r="L12" i="2"/>
  <c r="T12" i="2"/>
  <c r="K12" i="2"/>
  <c r="O12" i="2"/>
  <c r="S12" i="2"/>
  <c r="W12" i="2"/>
  <c r="P12" i="2"/>
  <c r="X12" i="2"/>
  <c r="Q12" i="2"/>
  <c r="M12" i="2"/>
  <c r="U12" i="2"/>
  <c r="H13" i="2"/>
  <c r="K28" i="2" s="1"/>
  <c r="I21" i="7"/>
  <c r="D8" i="7"/>
  <c r="A15" i="2"/>
  <c r="D14" i="2"/>
  <c r="B14" i="2"/>
  <c r="D13" i="2"/>
  <c r="C13" i="2" s="1"/>
  <c r="O8" i="2" l="1"/>
  <c r="P7" i="2"/>
  <c r="K13" i="2"/>
  <c r="K27" i="2" s="1"/>
  <c r="O13" i="2"/>
  <c r="S13" i="2"/>
  <c r="W13" i="2"/>
  <c r="M13" i="2"/>
  <c r="U13" i="2"/>
  <c r="L13" i="2"/>
  <c r="P13" i="2"/>
  <c r="T13" i="2"/>
  <c r="X13" i="2"/>
  <c r="Q13" i="2"/>
  <c r="H14" i="2"/>
  <c r="R13" i="2"/>
  <c r="V13" i="2"/>
  <c r="N13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D9" i="7"/>
  <c r="A16" i="2"/>
  <c r="D15" i="2"/>
  <c r="B15" i="2"/>
  <c r="C14" i="2"/>
  <c r="P8" i="2" l="1"/>
  <c r="Q7" i="2"/>
  <c r="M14" i="2"/>
  <c r="Q14" i="2"/>
  <c r="U14" i="2"/>
  <c r="H15" i="2"/>
  <c r="N14" i="2"/>
  <c r="O14" i="2"/>
  <c r="W14" i="2"/>
  <c r="R14" i="2"/>
  <c r="V14" i="2"/>
  <c r="S14" i="2"/>
  <c r="T14" i="2"/>
  <c r="X14" i="2"/>
  <c r="P14" i="2"/>
  <c r="L14" i="2"/>
  <c r="L27" i="2" s="1"/>
  <c r="L28" i="2"/>
  <c r="K10" i="7"/>
  <c r="K21" i="7" s="1"/>
  <c r="P10" i="7"/>
  <c r="T10" i="7"/>
  <c r="N10" i="7"/>
  <c r="L10" i="7"/>
  <c r="O10" i="7"/>
  <c r="M10" i="7"/>
  <c r="Q10" i="7"/>
  <c r="U10" i="7"/>
  <c r="R10" i="7"/>
  <c r="S10" i="7"/>
  <c r="D10" i="7"/>
  <c r="C15" i="2"/>
  <c r="A17" i="2"/>
  <c r="D16" i="2"/>
  <c r="B16" i="2"/>
  <c r="Q8" i="2" l="1"/>
  <c r="R7" i="2"/>
  <c r="P15" i="2"/>
  <c r="T15" i="2"/>
  <c r="X15" i="2"/>
  <c r="M15" i="2"/>
  <c r="M27" i="2" s="1"/>
  <c r="U15" i="2"/>
  <c r="H16" i="2"/>
  <c r="N28" i="2" s="1"/>
  <c r="R15" i="2"/>
  <c r="Q15" i="2"/>
  <c r="N15" i="2"/>
  <c r="V15" i="2"/>
  <c r="W15" i="2"/>
  <c r="S15" i="2"/>
  <c r="O15" i="2"/>
  <c r="M28" i="2"/>
  <c r="L21" i="7"/>
  <c r="N11" i="7"/>
  <c r="R11" i="7"/>
  <c r="M11" i="7"/>
  <c r="P11" i="7"/>
  <c r="Q11" i="7"/>
  <c r="O11" i="7"/>
  <c r="S11" i="7"/>
  <c r="T11" i="7"/>
  <c r="U11" i="7"/>
  <c r="D11" i="7"/>
  <c r="A18" i="2"/>
  <c r="D17" i="2"/>
  <c r="B17" i="2"/>
  <c r="C16" i="2"/>
  <c r="S7" i="2" l="1"/>
  <c r="R8" i="2"/>
  <c r="P16" i="2"/>
  <c r="T16" i="2"/>
  <c r="X16" i="2"/>
  <c r="U16" i="2"/>
  <c r="Q16" i="2"/>
  <c r="H17" i="2"/>
  <c r="S16" i="2"/>
  <c r="N16" i="2"/>
  <c r="N27" i="2" s="1"/>
  <c r="V16" i="2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D12" i="7"/>
  <c r="C17" i="2"/>
  <c r="A19" i="2"/>
  <c r="D18" i="2"/>
  <c r="B18" i="2"/>
  <c r="S8" i="2" l="1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D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14" i="7"/>
  <c r="O21" i="7" s="1"/>
  <c r="R14" i="7"/>
  <c r="P14" i="7"/>
  <c r="Q14" i="7"/>
  <c r="U14" i="7"/>
  <c r="S14" i="7"/>
  <c r="T14" i="7"/>
  <c r="D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D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D16" i="7"/>
  <c r="C21" i="2"/>
  <c r="A23" i="2"/>
  <c r="D22" i="2"/>
  <c r="B22" i="2"/>
  <c r="X7" i="2" l="1"/>
  <c r="X8" i="2" s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D17" i="7"/>
  <c r="C22" i="2"/>
  <c r="A24" i="2"/>
  <c r="D24" i="2" s="1"/>
  <c r="D23" i="2"/>
  <c r="B23" i="2"/>
  <c r="U22" i="2" l="1"/>
  <c r="H23" i="2"/>
  <c r="V22" i="2"/>
  <c r="X22" i="2"/>
  <c r="W22" i="2"/>
  <c r="T22" i="2"/>
  <c r="T27" i="2" s="1"/>
  <c r="T28" i="2"/>
  <c r="S18" i="7"/>
  <c r="S21" i="7" s="1"/>
  <c r="U18" i="7"/>
  <c r="T18" i="7"/>
  <c r="D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D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D20" i="7"/>
  <c r="C25" i="2"/>
  <c r="A27" i="2"/>
  <c r="D27" i="2" s="1"/>
  <c r="B26" i="2"/>
  <c r="H26" i="2" l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J3" i="2" s="1"/>
  <c r="L3" i="2" s="1"/>
  <c r="C43" i="2" l="1"/>
  <c r="C44" i="2" s="1"/>
  <c r="N3" i="2" s="1"/>
</calcChain>
</file>

<file path=xl/sharedStrings.xml><?xml version="1.0" encoding="utf-8"?>
<sst xmlns="http://schemas.openxmlformats.org/spreadsheetml/2006/main" count="95" uniqueCount="78">
  <si>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</si>
  <si>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</si>
  <si>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</si>
  <si>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</si>
  <si>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</si>
  <si>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</si>
  <si>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</si>
  <si>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</si>
  <si>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</si>
  <si>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</si>
  <si>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</si>
  <si>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</si>
  <si>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</si>
  <si>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</si>
  <si>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</si>
  <si>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</si>
  <si>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</si>
  <si>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</si>
  <si>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</si>
  <si>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</si>
  <si>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</si>
  <si>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</si>
  <si>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</si>
  <si>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</si>
  <si>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</si>
  <si>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</si>
  <si>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</si>
  <si>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</si>
  <si>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</si>
  <si>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</si>
  <si>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</si>
  <si>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</si>
  <si>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</si>
  <si>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</si>
  <si>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</si>
  <si>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</si>
  <si>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</si>
  <si>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</si>
  <si>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</si>
  <si>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</si>
  <si>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</si>
  <si>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</si>
  <si>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</si>
  <si>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</si>
  <si>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</si>
  <si>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</si>
  <si>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</si>
  <si>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</si>
  <si>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</si>
  <si>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</si>
  <si>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</si>
  <si>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</si>
  <si>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</si>
  <si>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</si>
  <si>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</si>
  <si>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</si>
  <si>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</si>
  <si>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</si>
  <si>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</si>
  <si>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</si>
  <si>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</si>
  <si>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</si>
  <si>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</si>
  <si>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</si>
  <si>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</si>
  <si>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</si>
  <si>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</si>
  <si>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</si>
  <si>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</si>
  <si>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</si>
  <si>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</si>
  <si>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</si>
  <si>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</si>
  <si>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r>
      <t xml:space="preserve">Khối lượng </t>
    </r>
    <r>
      <rPr>
        <sz val="13"/>
        <color rgb="FF002060"/>
        <rFont val="游ゴシック"/>
        <family val="2"/>
        <charset val="128"/>
      </rPr>
      <t>ban đ</t>
    </r>
    <r>
      <rPr>
        <sz val="13"/>
        <color rgb="FF002060"/>
        <rFont val="Arial"/>
        <family val="2"/>
        <charset val="163"/>
      </rPr>
      <t>ầ</t>
    </r>
    <r>
      <rPr>
        <sz val="13"/>
        <color rgb="FF002060"/>
        <rFont val="游ゴシック"/>
        <family val="2"/>
        <charset val="128"/>
      </rPr>
      <t>u</t>
    </r>
    <phoneticPr fontId="8"/>
  </si>
  <si>
    <r>
      <t>Số Lệ</t>
    </r>
    <r>
      <rPr>
        <sz val="13"/>
        <color rgb="FF002060"/>
        <rFont val="游ゴシック"/>
        <family val="2"/>
        <charset val="128"/>
      </rPr>
      <t>nh</t>
    </r>
    <r>
      <rPr>
        <sz val="13"/>
        <color rgb="FF002060"/>
        <rFont val="Arial"/>
        <family val="2"/>
      </rPr>
      <t xml:space="preserve"> đánh</t>
    </r>
    <phoneticPr fontId="8"/>
  </si>
  <si>
    <t>L</t>
    <phoneticPr fontId="8"/>
  </si>
  <si>
    <t>Price</t>
    <phoneticPr fontId="8"/>
  </si>
  <si>
    <t>Quãng giá dca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</si>
</sst>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#,##0.0_);\(#,##0.0\)"/>
    <numFmt numFmtId="166" formatCode="_(* #,##0_);_(* \(#,##0\);_(* &quot;-&quot;??_);_(@_)"/>
    <numFmt numFmtId="167" formatCode="0;\-0;;\ @"/>
    <numFmt numFmtId="168" formatCode="0.00;\-0.00;;\ @"/>
    <numFmt numFmtId="169" formatCode="#,##0.000"/>
    <numFmt numFmtId="170" formatCode="#,##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3"/>
      <color rgb="FF002060"/>
      <name val="游ゴシック"/>
      <family val="2"/>
      <charset val="128"/>
    </font>
    <font>
      <sz val="13"/>
      <color rgb="FF002060"/>
      <name val="Arial"/>
      <family val="2"/>
      <charset val="163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28" applyNumberFormat="0" applyAlignment="0" applyProtection="0"/>
  </cellStyleXfs>
  <cellXfs count="10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27" xfId="2" applyNumberFormat="1" applyFont="1" applyBorder="1"/>
    <xf numFmtId="169" fontId="3" fillId="0" borderId="27" xfId="2" applyNumberFormat="1" applyFont="1" applyBorder="1"/>
    <xf numFmtId="0" fontId="9" fillId="0" borderId="0" xfId="2" applyFont="1"/>
    <xf numFmtId="167" fontId="10" fillId="3" borderId="0" xfId="1" applyNumberFormat="1" applyFont="1" applyFill="1"/>
    <xf numFmtId="168" fontId="10" fillId="3" borderId="0" xfId="1" applyNumberFormat="1" applyFont="1" applyFill="1"/>
    <xf numFmtId="168" fontId="10" fillId="0" borderId="20" xfId="1" applyNumberFormat="1" applyFont="1" applyBorder="1"/>
    <xf numFmtId="167" fontId="10" fillId="0" borderId="21" xfId="1" applyNumberFormat="1" applyFont="1" applyBorder="1"/>
    <xf numFmtId="168" fontId="10" fillId="0" borderId="9" xfId="1" applyNumberFormat="1" applyFont="1" applyBorder="1"/>
    <xf numFmtId="167" fontId="9" fillId="0" borderId="0" xfId="2" applyNumberFormat="1" applyFont="1"/>
    <xf numFmtId="168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27" xfId="0" applyNumberFormat="1" applyFont="1" applyFill="1" applyBorder="1" applyAlignment="1">
      <alignment horizontal="center" vertical="center"/>
    </xf>
    <xf numFmtId="0" fontId="11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4" fontId="11" fillId="14" borderId="27" xfId="0" applyNumberFormat="1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4" fontId="11" fillId="12" borderId="30" xfId="0" applyNumberFormat="1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170" fontId="11" fillId="0" borderId="27" xfId="0" applyNumberFormat="1" applyFont="1" applyBorder="1" applyAlignment="1">
      <alignment horizontal="center" vertical="center"/>
    </xf>
    <xf numFmtId="4" fontId="11" fillId="13" borderId="43" xfId="0" applyNumberFormat="1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43" xfId="0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0" fontId="11" fillId="0" borderId="0" xfId="2" applyFont="1"/>
    <xf numFmtId="167" fontId="13" fillId="2" borderId="16" xfId="1" applyNumberFormat="1" applyFont="1" applyFill="1" applyBorder="1" applyAlignment="1">
      <alignment horizontal="center" vertical="center"/>
    </xf>
    <xf numFmtId="168" fontId="13" fillId="2" borderId="17" xfId="1" applyNumberFormat="1" applyFont="1" applyFill="1" applyBorder="1" applyAlignment="1">
      <alignment horizontal="center" vertical="center"/>
    </xf>
    <xf numFmtId="167" fontId="13" fillId="2" borderId="18" xfId="1" applyNumberFormat="1" applyFont="1" applyFill="1" applyBorder="1" applyAlignment="1">
      <alignment horizontal="center" vertical="center"/>
    </xf>
    <xf numFmtId="167" fontId="10" fillId="0" borderId="19" xfId="1" applyNumberFormat="1" applyFont="1" applyBorder="1" applyAlignment="1">
      <alignment horizontal="center" vertical="center"/>
    </xf>
    <xf numFmtId="3" fontId="13" fillId="2" borderId="18" xfId="1" applyNumberFormat="1" applyFont="1" applyFill="1" applyBorder="1" applyAlignment="1">
      <alignment vertical="center"/>
    </xf>
    <xf numFmtId="167" fontId="13" fillId="2" borderId="18" xfId="1" applyNumberFormat="1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8" fillId="0" borderId="0" xfId="2" applyFont="1"/>
    <xf numFmtId="0" fontId="11" fillId="4" borderId="22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9" fillId="6" borderId="25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/>
    </xf>
    <xf numFmtId="0" fontId="19" fillId="6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4" fontId="20" fillId="0" borderId="27" xfId="2" applyNumberFormat="1" applyFont="1" applyBorder="1" applyAlignment="1">
      <alignment horizontal="center"/>
    </xf>
    <xf numFmtId="3" fontId="20" fillId="0" borderId="27" xfId="2" applyNumberFormat="1" applyFont="1" applyBorder="1" applyAlignment="1">
      <alignment horizontal="right"/>
    </xf>
    <xf numFmtId="3" fontId="20" fillId="0" borderId="27" xfId="2" applyNumberFormat="1" applyFont="1" applyBorder="1"/>
    <xf numFmtId="0" fontId="20" fillId="18" borderId="27" xfId="2" applyFont="1" applyFill="1" applyBorder="1" applyAlignment="1">
      <alignment horizontal="center" vertical="center"/>
    </xf>
    <xf numFmtId="0" fontId="20" fillId="7" borderId="27" xfId="2" applyFont="1" applyFill="1" applyBorder="1" applyAlignment="1">
      <alignment horizontal="center"/>
    </xf>
    <xf numFmtId="4" fontId="20" fillId="6" borderId="27" xfId="2" applyNumberFormat="1" applyFont="1" applyFill="1" applyBorder="1" applyAlignment="1">
      <alignment horizontal="center"/>
    </xf>
    <xf numFmtId="0" fontId="20" fillId="0" borderId="27" xfId="2" applyFont="1" applyBorder="1" applyAlignment="1">
      <alignment horizontal="center"/>
    </xf>
    <xf numFmtId="4" fontId="3" fillId="0" borderId="27" xfId="2" applyNumberFormat="1" applyFont="1" applyBorder="1"/>
    <xf numFmtId="3" fontId="21" fillId="0" borderId="27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0" fontId="19" fillId="5" borderId="23" xfId="2" applyFont="1" applyFill="1" applyBorder="1" applyAlignment="1">
      <alignment horizontal="center" vertical="center"/>
    </xf>
    <xf numFmtId="4" fontId="3" fillId="0" borderId="0" xfId="2" applyNumberFormat="1" applyFont="1"/>
    <xf numFmtId="0" fontId="17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4" fontId="26" fillId="8" borderId="27" xfId="4" applyNumberFormat="1" applyFont="1" applyBorder="1" applyAlignment="1">
      <alignment horizontal="center"/>
    </xf>
    <xf numFmtId="0" fontId="27" fillId="9" borderId="27" xfId="5" applyFont="1" applyBorder="1" applyAlignment="1">
      <alignment horizontal="center"/>
    </xf>
    <xf numFmtId="4" fontId="28" fillId="10" borderId="27" xfId="6" applyNumberFormat="1" applyFont="1" applyBorder="1" applyAlignment="1">
      <alignment horizontal="center"/>
    </xf>
    <xf numFmtId="0" fontId="22" fillId="0" borderId="27" xfId="1" applyFont="1" applyBorder="1" applyAlignment="1">
      <alignment horizontal="center"/>
    </xf>
    <xf numFmtId="4" fontId="13" fillId="2" borderId="16" xfId="1" applyNumberFormat="1" applyFont="1" applyFill="1" applyBorder="1" applyAlignment="1">
      <alignment horizontal="center" vertical="center"/>
    </xf>
    <xf numFmtId="4" fontId="13" fillId="2" borderId="17" xfId="1" applyNumberFormat="1" applyFont="1" applyFill="1" applyBorder="1" applyAlignment="1">
      <alignment horizontal="center" vertical="center"/>
    </xf>
    <xf numFmtId="0" fontId="14" fillId="0" borderId="8" xfId="1" applyFont="1" applyBorder="1" applyAlignment="1">
      <alignment horizontal="left"/>
    </xf>
    <xf numFmtId="0" fontId="14" fillId="0" borderId="9" xfId="1" applyFont="1" applyBorder="1" applyAlignment="1">
      <alignment horizontal="left"/>
    </xf>
    <xf numFmtId="43" fontId="15" fillId="0" borderId="9" xfId="3" applyFont="1" applyBorder="1" applyAlignment="1">
      <alignment horizontal="center" vertical="center"/>
    </xf>
    <xf numFmtId="43" fontId="15" fillId="0" borderId="10" xfId="3" applyFont="1" applyBorder="1" applyAlignment="1">
      <alignment horizontal="center" vertical="center"/>
    </xf>
    <xf numFmtId="165" fontId="15" fillId="0" borderId="11" xfId="3" applyNumberFormat="1" applyFont="1" applyBorder="1" applyAlignment="1">
      <alignment vertical="center"/>
    </xf>
    <xf numFmtId="165" fontId="15" fillId="0" borderId="12" xfId="3" applyNumberFormat="1" applyFont="1" applyBorder="1" applyAlignment="1">
      <alignment vertical="center"/>
    </xf>
    <xf numFmtId="0" fontId="14" fillId="0" borderId="13" xfId="1" applyFont="1" applyBorder="1" applyAlignment="1">
      <alignment horizontal="left"/>
    </xf>
    <xf numFmtId="0" fontId="14" fillId="0" borderId="14" xfId="1" applyFont="1" applyBorder="1" applyAlignment="1">
      <alignment horizontal="left"/>
    </xf>
    <xf numFmtId="166" fontId="15" fillId="19" borderId="14" xfId="3" applyNumberFormat="1" applyFont="1" applyFill="1" applyBorder="1" applyAlignment="1">
      <alignment horizontal="center" vertical="center"/>
    </xf>
    <xf numFmtId="166" fontId="15" fillId="19" borderId="15" xfId="3" applyNumberFormat="1" applyFont="1" applyFill="1" applyBorder="1" applyAlignment="1">
      <alignment horizontal="center" vertical="center"/>
    </xf>
    <xf numFmtId="0" fontId="14" fillId="0" borderId="6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164" fontId="15" fillId="0" borderId="4" xfId="3" applyNumberFormat="1" applyFont="1" applyBorder="1" applyAlignment="1">
      <alignment horizontal="center" vertical="center"/>
    </xf>
    <xf numFmtId="164" fontId="15" fillId="0" borderId="5" xfId="3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0" borderId="2" xfId="1" applyFont="1" applyBorder="1" applyAlignment="1">
      <alignment horizontal="left"/>
    </xf>
    <xf numFmtId="0" fontId="14" fillId="0" borderId="3" xfId="1" applyFont="1" applyBorder="1" applyAlignment="1">
      <alignment horizontal="left"/>
    </xf>
    <xf numFmtId="164" fontId="15" fillId="19" borderId="4" xfId="3" applyNumberFormat="1" applyFont="1" applyFill="1" applyBorder="1" applyAlignment="1">
      <alignment horizontal="center" vertical="center"/>
    </xf>
    <xf numFmtId="164" fontId="15" fillId="19" borderId="5" xfId="3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85" zoomScaleNormal="85" workbookViewId="0">
      <selection activeCell="I36" sqref="I36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24" width="10.5546875" style="5" customWidth="1"/>
    <col min="25" max="26" width="9.109375" style="5"/>
    <col min="27" max="27" width="14.5546875" style="5" bestFit="1" customWidth="1"/>
    <col min="28" max="28" width="13.33203125" style="5" bestFit="1" customWidth="1"/>
    <col min="29" max="29" width="28.88671875" style="5" bestFit="1" customWidth="1"/>
    <col min="30" max="16384" width="9.109375" style="5"/>
  </cols>
  <sheetData>
    <row r="1" spans="1:24" ht="17.399999999999999" thickBot="1">
      <c r="A1" s="92" t="s">
        <v>0</v>
      </c>
      <c r="B1" s="93"/>
      <c r="C1" s="93"/>
      <c r="D1" s="93"/>
    </row>
    <row r="2" spans="1:24" ht="26.4" thickTop="1" thickBot="1">
      <c r="A2" s="94" t="s">
        <v>1</v>
      </c>
      <c r="B2" s="95"/>
      <c r="C2" s="96">
        <v>3</v>
      </c>
      <c r="D2" s="97"/>
      <c r="H2" s="70"/>
      <c r="I2" s="70"/>
      <c r="J2" s="75" t="s">
        <v>52</v>
      </c>
      <c r="K2" s="75"/>
      <c r="L2" s="75" t="s">
        <v>53</v>
      </c>
      <c r="M2" s="75"/>
      <c r="N2" s="75" t="s">
        <v>54</v>
      </c>
      <c r="O2" s="75"/>
      <c r="P2" s="75"/>
      <c r="Q2" s="70"/>
      <c r="R2" s="70"/>
      <c r="S2" s="70"/>
      <c r="T2" s="70"/>
      <c r="U2" s="70"/>
      <c r="V2" s="70"/>
      <c r="W2" s="70"/>
      <c r="X2" s="70"/>
    </row>
    <row r="3" spans="1:24" ht="18" thickTop="1" thickBot="1">
      <c r="A3" s="88" t="s">
        <v>2</v>
      </c>
      <c r="B3" s="89"/>
      <c r="C3" s="90">
        <f>C2</f>
        <v>3</v>
      </c>
      <c r="D3" s="91"/>
      <c r="G3" s="51"/>
      <c r="H3" s="43"/>
      <c r="I3" s="43"/>
      <c r="J3" s="72">
        <f>SUM('Bảng Input L30'!B13:B43)</f>
        <v>35.683784674299567</v>
      </c>
      <c r="K3" s="72"/>
      <c r="L3" s="73">
        <f>J3*91</f>
        <v>3247.2244053612608</v>
      </c>
      <c r="M3" s="73"/>
      <c r="N3" s="74">
        <f>L3+'Bảng Input L30'!C44</f>
        <v>20491.780072496964</v>
      </c>
      <c r="O3" s="74"/>
      <c r="P3" s="74"/>
      <c r="Q3" s="43"/>
      <c r="R3" s="43"/>
      <c r="S3" s="43"/>
      <c r="T3" s="43"/>
      <c r="U3" s="43"/>
      <c r="V3" s="43"/>
      <c r="W3" s="43"/>
      <c r="X3" s="43"/>
    </row>
    <row r="4" spans="1:24" ht="19.8" thickTop="1" thickBot="1">
      <c r="A4" s="88" t="s">
        <v>3</v>
      </c>
      <c r="B4" s="89"/>
      <c r="C4" s="90">
        <f>C3</f>
        <v>3</v>
      </c>
      <c r="D4" s="91"/>
      <c r="G4" s="52" t="s">
        <v>14</v>
      </c>
      <c r="H4" s="68">
        <v>1.6180000000000001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8" thickTop="1" thickBot="1">
      <c r="A5" s="88" t="s">
        <v>4</v>
      </c>
      <c r="B5" s="89"/>
      <c r="C5" s="90">
        <f>C4</f>
        <v>3</v>
      </c>
      <c r="D5" s="91"/>
      <c r="G5" s="53" t="s">
        <v>77</v>
      </c>
      <c r="H5" s="54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1.6" thickTop="1" thickBot="1">
      <c r="A6" s="88" t="s">
        <v>5</v>
      </c>
      <c r="B6" s="89"/>
      <c r="C6" s="90">
        <f>C5</f>
        <v>3</v>
      </c>
      <c r="D6" s="91"/>
      <c r="G6" s="55" t="s">
        <v>16</v>
      </c>
      <c r="H6" s="56">
        <v>6</v>
      </c>
      <c r="J6" s="71" t="s">
        <v>13</v>
      </c>
    </row>
    <row r="7" spans="1:24" ht="17.399999999999999" thickTop="1">
      <c r="A7" s="88" t="s">
        <v>6</v>
      </c>
      <c r="B7" s="89"/>
      <c r="C7" s="90">
        <f>C6</f>
        <v>3</v>
      </c>
      <c r="D7" s="91"/>
      <c r="G7" s="1"/>
      <c r="H7" s="1"/>
      <c r="I7" s="67">
        <v>2200</v>
      </c>
      <c r="J7" s="67">
        <f>I7-H$5</f>
        <v>2197</v>
      </c>
      <c r="K7" s="67">
        <f t="shared" ref="K7:X7" si="0">J7-$H$5</f>
        <v>2194</v>
      </c>
      <c r="L7" s="67">
        <f t="shared" si="0"/>
        <v>2191</v>
      </c>
      <c r="M7" s="67">
        <f t="shared" si="0"/>
        <v>2188</v>
      </c>
      <c r="N7" s="67">
        <f t="shared" si="0"/>
        <v>2185</v>
      </c>
      <c r="O7" s="67">
        <f t="shared" si="0"/>
        <v>2182</v>
      </c>
      <c r="P7" s="67">
        <f t="shared" si="0"/>
        <v>2179</v>
      </c>
      <c r="Q7" s="67">
        <f t="shared" si="0"/>
        <v>2176</v>
      </c>
      <c r="R7" s="67">
        <f t="shared" si="0"/>
        <v>2173</v>
      </c>
      <c r="S7" s="67">
        <f t="shared" si="0"/>
        <v>2170</v>
      </c>
      <c r="T7" s="67">
        <f t="shared" si="0"/>
        <v>2167</v>
      </c>
      <c r="U7" s="67">
        <f t="shared" si="0"/>
        <v>2164</v>
      </c>
      <c r="V7" s="67">
        <f t="shared" si="0"/>
        <v>2161</v>
      </c>
      <c r="W7" s="67">
        <f t="shared" si="0"/>
        <v>2158</v>
      </c>
      <c r="X7" s="67">
        <f t="shared" si="0"/>
        <v>2155</v>
      </c>
    </row>
    <row r="8" spans="1:24" ht="21.6">
      <c r="A8" s="78" t="s">
        <v>73</v>
      </c>
      <c r="B8" s="79"/>
      <c r="C8" s="80">
        <v>0.01</v>
      </c>
      <c r="D8" s="81"/>
      <c r="G8" s="1"/>
      <c r="H8" s="1"/>
      <c r="I8" s="67">
        <v>0</v>
      </c>
      <c r="J8" s="67">
        <f t="shared" ref="J8:X8" si="1">$I$7-J7</f>
        <v>3</v>
      </c>
      <c r="K8" s="67">
        <f t="shared" si="1"/>
        <v>6</v>
      </c>
      <c r="L8" s="67">
        <f t="shared" si="1"/>
        <v>9</v>
      </c>
      <c r="M8" s="67">
        <f t="shared" si="1"/>
        <v>12</v>
      </c>
      <c r="N8" s="67">
        <f t="shared" si="1"/>
        <v>15</v>
      </c>
      <c r="O8" s="67">
        <f t="shared" si="1"/>
        <v>18</v>
      </c>
      <c r="P8" s="67">
        <f t="shared" si="1"/>
        <v>21</v>
      </c>
      <c r="Q8" s="67">
        <f t="shared" si="1"/>
        <v>24</v>
      </c>
      <c r="R8" s="67">
        <f t="shared" si="1"/>
        <v>27</v>
      </c>
      <c r="S8" s="67">
        <f t="shared" si="1"/>
        <v>30</v>
      </c>
      <c r="T8" s="67">
        <f t="shared" si="1"/>
        <v>33</v>
      </c>
      <c r="U8" s="67">
        <f t="shared" si="1"/>
        <v>36</v>
      </c>
      <c r="V8" s="67">
        <f t="shared" si="1"/>
        <v>39</v>
      </c>
      <c r="W8" s="67">
        <f t="shared" si="1"/>
        <v>42</v>
      </c>
      <c r="X8" s="67">
        <f t="shared" si="1"/>
        <v>45</v>
      </c>
    </row>
    <row r="9" spans="1:24" ht="16.8">
      <c r="A9" s="78" t="s">
        <v>7</v>
      </c>
      <c r="B9" s="79"/>
      <c r="C9" s="82">
        <v>1.6180000000000001</v>
      </c>
      <c r="D9" s="83"/>
      <c r="G9" s="57" t="s">
        <v>17</v>
      </c>
      <c r="H9" s="57" t="s">
        <v>76</v>
      </c>
      <c r="I9" s="57" t="s">
        <v>19</v>
      </c>
      <c r="J9" s="57" t="s">
        <v>20</v>
      </c>
      <c r="K9" s="57" t="s">
        <v>21</v>
      </c>
      <c r="L9" s="57" t="s">
        <v>22</v>
      </c>
      <c r="M9" s="57" t="s">
        <v>23</v>
      </c>
      <c r="N9" s="57" t="s">
        <v>24</v>
      </c>
      <c r="O9" s="57" t="s">
        <v>25</v>
      </c>
      <c r="P9" s="57" t="s">
        <v>26</v>
      </c>
      <c r="Q9" s="57" t="s">
        <v>27</v>
      </c>
      <c r="R9" s="57" t="s">
        <v>28</v>
      </c>
      <c r="S9" s="57" t="s">
        <v>29</v>
      </c>
      <c r="T9" s="57" t="s">
        <v>30</v>
      </c>
      <c r="U9" s="57" t="s">
        <v>31</v>
      </c>
      <c r="V9" s="57" t="s">
        <v>32</v>
      </c>
      <c r="W9" s="57" t="s">
        <v>33</v>
      </c>
      <c r="X9" s="57" t="s">
        <v>34</v>
      </c>
    </row>
    <row r="10" spans="1:24" ht="22.2" thickBot="1">
      <c r="A10" s="84" t="s">
        <v>74</v>
      </c>
      <c r="B10" s="85"/>
      <c r="C10" s="86">
        <v>16</v>
      </c>
      <c r="D10" s="87"/>
      <c r="G10" s="61" t="s">
        <v>75</v>
      </c>
      <c r="H10" s="57" t="s">
        <v>18</v>
      </c>
      <c r="I10" s="57">
        <v>1</v>
      </c>
      <c r="J10" s="57">
        <v>2</v>
      </c>
      <c r="K10" s="57">
        <v>3</v>
      </c>
      <c r="L10" s="57">
        <v>4</v>
      </c>
      <c r="M10" s="57">
        <v>5</v>
      </c>
      <c r="N10" s="57">
        <v>6</v>
      </c>
      <c r="O10" s="57">
        <v>7</v>
      </c>
      <c r="P10" s="57">
        <v>8</v>
      </c>
      <c r="Q10" s="57">
        <v>9</v>
      </c>
      <c r="R10" s="57">
        <v>10</v>
      </c>
      <c r="S10" s="57">
        <v>11</v>
      </c>
      <c r="T10" s="57">
        <v>12</v>
      </c>
      <c r="U10" s="57">
        <v>13</v>
      </c>
      <c r="V10" s="57">
        <v>14</v>
      </c>
      <c r="W10" s="57">
        <v>15</v>
      </c>
      <c r="X10" s="57">
        <v>16</v>
      </c>
    </row>
    <row r="11" spans="1:24" ht="18" thickTop="1" thickBot="1">
      <c r="A11" s="6"/>
      <c r="B11" s="7"/>
      <c r="C11" s="6"/>
      <c r="D11" s="6"/>
      <c r="G11" s="62">
        <v>1</v>
      </c>
      <c r="H11" s="63">
        <f>'Bảng Input L30'!B13</f>
        <v>0.01</v>
      </c>
      <c r="I11" s="59">
        <f>H11*H6*100</f>
        <v>6</v>
      </c>
      <c r="J11" s="59">
        <f>H11*100*(H6-H5)</f>
        <v>3</v>
      </c>
      <c r="K11" s="59">
        <f t="shared" ref="K11:X11" si="2">$H$11*100*($H$6-$H$5*J10)</f>
        <v>0</v>
      </c>
      <c r="L11" s="59">
        <f t="shared" si="2"/>
        <v>-3</v>
      </c>
      <c r="M11" s="59">
        <f t="shared" si="2"/>
        <v>-6</v>
      </c>
      <c r="N11" s="59">
        <f t="shared" si="2"/>
        <v>-9</v>
      </c>
      <c r="O11" s="59">
        <f t="shared" si="2"/>
        <v>-12</v>
      </c>
      <c r="P11" s="59">
        <f t="shared" si="2"/>
        <v>-15</v>
      </c>
      <c r="Q11" s="59">
        <f t="shared" si="2"/>
        <v>-18</v>
      </c>
      <c r="R11" s="59">
        <f t="shared" si="2"/>
        <v>-21</v>
      </c>
      <c r="S11" s="59">
        <f t="shared" si="2"/>
        <v>-24</v>
      </c>
      <c r="T11" s="59">
        <f t="shared" si="2"/>
        <v>-27</v>
      </c>
      <c r="U11" s="59">
        <f t="shared" si="2"/>
        <v>-30</v>
      </c>
      <c r="V11" s="59">
        <f t="shared" si="2"/>
        <v>-33</v>
      </c>
      <c r="W11" s="59">
        <f t="shared" si="2"/>
        <v>-36</v>
      </c>
      <c r="X11" s="59">
        <f t="shared" si="2"/>
        <v>-39</v>
      </c>
    </row>
    <row r="12" spans="1:24" ht="18" thickTop="1" thickBot="1">
      <c r="A12" s="44" t="s">
        <v>8</v>
      </c>
      <c r="B12" s="45" t="s">
        <v>9</v>
      </c>
      <c r="C12" s="46" t="s">
        <v>10</v>
      </c>
      <c r="D12" s="46" t="s">
        <v>11</v>
      </c>
      <c r="G12" s="62">
        <v>2</v>
      </c>
      <c r="H12" s="58">
        <f t="shared" ref="H12:H26" si="3">H11*$H$4</f>
        <v>1.618E-2</v>
      </c>
      <c r="I12" s="3"/>
      <c r="J12" s="59">
        <f>H12*100*H6</f>
        <v>9.7079999999999984</v>
      </c>
      <c r="K12" s="59">
        <f>H12*100*(H6-H5)</f>
        <v>4.8539999999999992</v>
      </c>
      <c r="L12" s="59">
        <f t="shared" ref="L12:X12" si="4">$H$12*100*($H$6-$H$5*J10)</f>
        <v>0</v>
      </c>
      <c r="M12" s="59">
        <f t="shared" si="4"/>
        <v>-4.8539999999999992</v>
      </c>
      <c r="N12" s="59">
        <f t="shared" si="4"/>
        <v>-9.7079999999999984</v>
      </c>
      <c r="O12" s="59">
        <f t="shared" si="4"/>
        <v>-14.561999999999999</v>
      </c>
      <c r="P12" s="59">
        <f t="shared" si="4"/>
        <v>-19.415999999999997</v>
      </c>
      <c r="Q12" s="59">
        <f t="shared" si="4"/>
        <v>-24.27</v>
      </c>
      <c r="R12" s="59">
        <f t="shared" si="4"/>
        <v>-29.123999999999999</v>
      </c>
      <c r="S12" s="59">
        <f t="shared" si="4"/>
        <v>-33.977999999999994</v>
      </c>
      <c r="T12" s="59">
        <f t="shared" si="4"/>
        <v>-38.831999999999994</v>
      </c>
      <c r="U12" s="59">
        <f t="shared" si="4"/>
        <v>-43.686</v>
      </c>
      <c r="V12" s="59">
        <f t="shared" si="4"/>
        <v>-48.54</v>
      </c>
      <c r="W12" s="59">
        <f t="shared" si="4"/>
        <v>-53.393999999999998</v>
      </c>
      <c r="X12" s="59">
        <f t="shared" si="4"/>
        <v>-58.247999999999998</v>
      </c>
    </row>
    <row r="13" spans="1:24" ht="17.399999999999999" thickTop="1">
      <c r="A13" s="47" t="str">
        <f>IF($C$10&gt;0,"L1",0)</f>
        <v>L1</v>
      </c>
      <c r="B13" s="8">
        <f>+C8</f>
        <v>0.01</v>
      </c>
      <c r="C13" s="9">
        <f>+B13*D13*100</f>
        <v>45</v>
      </c>
      <c r="D13" s="9">
        <f>IF(A13=0,0,$C$2+$C$3+$C$4+$C$5+$C$6+($C$7*($C$10-6)))</f>
        <v>45</v>
      </c>
      <c r="G13" s="62">
        <v>3</v>
      </c>
      <c r="H13" s="58">
        <f t="shared" si="3"/>
        <v>2.6179240000000003E-2</v>
      </c>
      <c r="I13" s="3"/>
      <c r="J13" s="3"/>
      <c r="K13" s="59">
        <f>H13*100*H6</f>
        <v>15.707544000000002</v>
      </c>
      <c r="L13" s="59">
        <f>H13*100*(H6-H5)</f>
        <v>7.8537720000000011</v>
      </c>
      <c r="M13" s="59">
        <f t="shared" ref="M13:X13" si="5">$H$13*100*($H$6-$H$5*J10)</f>
        <v>0</v>
      </c>
      <c r="N13" s="59">
        <f t="shared" si="5"/>
        <v>-7.8537720000000011</v>
      </c>
      <c r="O13" s="59">
        <f t="shared" si="5"/>
        <v>-15.707544000000002</v>
      </c>
      <c r="P13" s="59">
        <f t="shared" si="5"/>
        <v>-23.561316000000005</v>
      </c>
      <c r="Q13" s="59">
        <f t="shared" si="5"/>
        <v>-31.415088000000004</v>
      </c>
      <c r="R13" s="59">
        <f t="shared" si="5"/>
        <v>-39.268860000000004</v>
      </c>
      <c r="S13" s="59">
        <f t="shared" si="5"/>
        <v>-47.12263200000001</v>
      </c>
      <c r="T13" s="59">
        <f t="shared" si="5"/>
        <v>-54.976404000000009</v>
      </c>
      <c r="U13" s="59">
        <f t="shared" si="5"/>
        <v>-62.830176000000009</v>
      </c>
      <c r="V13" s="59">
        <f t="shared" si="5"/>
        <v>-70.683948000000015</v>
      </c>
      <c r="W13" s="59">
        <f t="shared" si="5"/>
        <v>-78.537720000000007</v>
      </c>
      <c r="X13" s="59">
        <f t="shared" si="5"/>
        <v>-86.391492000000014</v>
      </c>
    </row>
    <row r="14" spans="1:24" ht="16.8">
      <c r="A14" s="47" t="str">
        <f>IF(A13=0,0,IF(VALUE(MID(A13,2,2))&gt;=$C$10,0,"L"&amp;VALUE(MID(A13,2,2))+1))</f>
        <v>L2</v>
      </c>
      <c r="B14" s="10">
        <f>IF(A14&lt;&gt;0,B13*$C$9,0)</f>
        <v>1.618E-2</v>
      </c>
      <c r="C14" s="9">
        <f t="shared" ref="C14:C43" si="6">+B14*D14*100</f>
        <v>67.955999999999989</v>
      </c>
      <c r="D14" s="9">
        <f>IF(A14=0,0,$C$3+$C$4+$C$5+$C$6+($C$7*($C$10-6)))</f>
        <v>42</v>
      </c>
      <c r="G14" s="62">
        <v>4</v>
      </c>
      <c r="H14" s="58">
        <f t="shared" si="3"/>
        <v>4.2358010320000007E-2</v>
      </c>
      <c r="I14" s="3"/>
      <c r="J14" s="3"/>
      <c r="K14" s="3"/>
      <c r="L14" s="59">
        <f>H14*100*H6</f>
        <v>25.414806192</v>
      </c>
      <c r="M14" s="59">
        <f>H14*100*(H6-H5)</f>
        <v>12.707403096</v>
      </c>
      <c r="N14" s="59">
        <f t="shared" ref="N14:X14" si="7">$H$14*100*($H$6-$H$5*J10)</f>
        <v>0</v>
      </c>
      <c r="O14" s="59">
        <f t="shared" si="7"/>
        <v>-12.707403096</v>
      </c>
      <c r="P14" s="59">
        <f t="shared" si="7"/>
        <v>-25.414806192</v>
      </c>
      <c r="Q14" s="59">
        <f t="shared" si="7"/>
        <v>-38.122209288000001</v>
      </c>
      <c r="R14" s="59">
        <f t="shared" si="7"/>
        <v>-50.829612384000001</v>
      </c>
      <c r="S14" s="59">
        <f t="shared" si="7"/>
        <v>-63.537015480000008</v>
      </c>
      <c r="T14" s="59">
        <f t="shared" si="7"/>
        <v>-76.244418576000001</v>
      </c>
      <c r="U14" s="59">
        <f t="shared" si="7"/>
        <v>-88.951821672000008</v>
      </c>
      <c r="V14" s="59">
        <f t="shared" si="7"/>
        <v>-101.659224768</v>
      </c>
      <c r="W14" s="59">
        <f t="shared" si="7"/>
        <v>-114.36662786400001</v>
      </c>
      <c r="X14" s="59">
        <f t="shared" si="7"/>
        <v>-127.07403096000002</v>
      </c>
    </row>
    <row r="15" spans="1:24" ht="16.8">
      <c r="A15" s="47" t="str">
        <f t="shared" ref="A15:A43" si="8">IF(A14=0,0,IF(VALUE(MID(A14,2,2))&gt;=$C$10,0,"L"&amp;VALUE(MID(A14,2,2))+1))</f>
        <v>L3</v>
      </c>
      <c r="B15" s="10">
        <f t="shared" ref="B15:B43" si="9">IF(A15&lt;&gt;0,B14*$C$9,0)</f>
        <v>2.6179240000000003E-2</v>
      </c>
      <c r="C15" s="9">
        <f t="shared" si="6"/>
        <v>102.09903600000001</v>
      </c>
      <c r="D15" s="9">
        <f>IF(A15=0,0,$C$4+$C$5+$C$6+($C$7*($C$10-6)))</f>
        <v>39</v>
      </c>
      <c r="G15" s="62">
        <v>5</v>
      </c>
      <c r="H15" s="58">
        <f t="shared" si="3"/>
        <v>6.8535260697760017E-2</v>
      </c>
      <c r="I15" s="4"/>
      <c r="J15" s="3"/>
      <c r="K15" s="3"/>
      <c r="L15" s="3"/>
      <c r="M15" s="59">
        <f>H15*H6*100</f>
        <v>41.121156418656014</v>
      </c>
      <c r="N15" s="59">
        <f>H15*100*(H6-H5)</f>
        <v>20.560578209328003</v>
      </c>
      <c r="O15" s="59">
        <f t="shared" ref="O15:X15" si="10">$H$15*100*($H$6-$H$5*J10)</f>
        <v>0</v>
      </c>
      <c r="P15" s="59">
        <f t="shared" si="10"/>
        <v>-20.560578209328003</v>
      </c>
      <c r="Q15" s="59">
        <f t="shared" si="10"/>
        <v>-41.121156418656007</v>
      </c>
      <c r="R15" s="59">
        <f t="shared" si="10"/>
        <v>-61.681734627984014</v>
      </c>
      <c r="S15" s="59">
        <f t="shared" si="10"/>
        <v>-82.242312837312014</v>
      </c>
      <c r="T15" s="59">
        <f t="shared" si="10"/>
        <v>-102.80289104664003</v>
      </c>
      <c r="U15" s="59">
        <f t="shared" si="10"/>
        <v>-123.36346925596803</v>
      </c>
      <c r="V15" s="59">
        <f t="shared" si="10"/>
        <v>-143.92404746529604</v>
      </c>
      <c r="W15" s="59">
        <f t="shared" si="10"/>
        <v>-164.48462567462403</v>
      </c>
      <c r="X15" s="59">
        <f t="shared" si="10"/>
        <v>-185.04520388395204</v>
      </c>
    </row>
    <row r="16" spans="1:24" ht="16.8">
      <c r="A16" s="47" t="str">
        <f t="shared" si="8"/>
        <v>L4</v>
      </c>
      <c r="B16" s="10">
        <f t="shared" si="9"/>
        <v>4.2358010320000007E-2</v>
      </c>
      <c r="C16" s="9">
        <f t="shared" si="6"/>
        <v>152.48883715200003</v>
      </c>
      <c r="D16" s="9">
        <f>IF(A16=0,0,$C$5+$C$6+($C$7*($C$10-6)))</f>
        <v>36</v>
      </c>
      <c r="G16" s="62">
        <v>6</v>
      </c>
      <c r="H16" s="58">
        <f t="shared" si="3"/>
        <v>0.11089005180897571</v>
      </c>
      <c r="I16" s="3"/>
      <c r="J16" s="3"/>
      <c r="K16" s="3"/>
      <c r="L16" s="3"/>
      <c r="M16" s="3"/>
      <c r="N16" s="59">
        <f>H16*H6*100</f>
        <v>66.534031085385422</v>
      </c>
      <c r="O16" s="59">
        <f>H16*100*(H6-H5)</f>
        <v>33.267015542692711</v>
      </c>
      <c r="P16" s="59">
        <f t="shared" ref="P16:X16" si="11">$H$16*100*($H$6-$H$5*J10)</f>
        <v>0</v>
      </c>
      <c r="Q16" s="59">
        <f t="shared" si="11"/>
        <v>-33.267015542692711</v>
      </c>
      <c r="R16" s="59">
        <f t="shared" si="11"/>
        <v>-66.534031085385422</v>
      </c>
      <c r="S16" s="59">
        <f t="shared" si="11"/>
        <v>-99.80104662807814</v>
      </c>
      <c r="T16" s="59">
        <f t="shared" si="11"/>
        <v>-133.06806217077084</v>
      </c>
      <c r="U16" s="59">
        <f t="shared" si="11"/>
        <v>-166.33507771346356</v>
      </c>
      <c r="V16" s="59">
        <f t="shared" si="11"/>
        <v>-199.60209325615628</v>
      </c>
      <c r="W16" s="59">
        <f t="shared" si="11"/>
        <v>-232.869108798849</v>
      </c>
      <c r="X16" s="59">
        <f t="shared" si="11"/>
        <v>-266.13612434154169</v>
      </c>
    </row>
    <row r="17" spans="1:24" ht="16.8">
      <c r="A17" s="47" t="str">
        <f t="shared" si="8"/>
        <v>L5</v>
      </c>
      <c r="B17" s="10">
        <f t="shared" si="9"/>
        <v>6.8535260697760017E-2</v>
      </c>
      <c r="C17" s="9">
        <f t="shared" si="6"/>
        <v>226.16636030260807</v>
      </c>
      <c r="D17" s="9">
        <f>IF(A17=0,0,$C$6+($C$7*($C$10-6)))</f>
        <v>33</v>
      </c>
      <c r="G17" s="62">
        <v>7</v>
      </c>
      <c r="H17" s="58">
        <f t="shared" si="3"/>
        <v>0.17942010382692272</v>
      </c>
      <c r="I17" s="3"/>
      <c r="J17" s="3"/>
      <c r="K17" s="3"/>
      <c r="L17" s="3"/>
      <c r="M17" s="3"/>
      <c r="N17" s="3"/>
      <c r="O17" s="59">
        <f>H6*H17*100</f>
        <v>107.65206229615363</v>
      </c>
      <c r="P17" s="59">
        <f>H17*100*(H6-H5)</f>
        <v>53.826031148076808</v>
      </c>
      <c r="Q17" s="59">
        <f t="shared" ref="Q17:X17" si="12">$H$17*100*($H$6-$H$5*J10)</f>
        <v>0</v>
      </c>
      <c r="R17" s="59">
        <f t="shared" si="12"/>
        <v>-53.826031148076808</v>
      </c>
      <c r="S17" s="59">
        <f t="shared" si="12"/>
        <v>-107.65206229615362</v>
      </c>
      <c r="T17" s="59">
        <f t="shared" si="12"/>
        <v>-161.47809344423044</v>
      </c>
      <c r="U17" s="59">
        <f t="shared" si="12"/>
        <v>-215.30412459230723</v>
      </c>
      <c r="V17" s="59">
        <f t="shared" si="12"/>
        <v>-269.13015574038405</v>
      </c>
      <c r="W17" s="59">
        <f t="shared" si="12"/>
        <v>-322.95618688846088</v>
      </c>
      <c r="X17" s="59">
        <f t="shared" si="12"/>
        <v>-376.7822180365377</v>
      </c>
    </row>
    <row r="18" spans="1:24" ht="16.8">
      <c r="A18" s="47" t="str">
        <f t="shared" si="8"/>
        <v>L6</v>
      </c>
      <c r="B18" s="10">
        <f t="shared" si="9"/>
        <v>0.11089005180897571</v>
      </c>
      <c r="C18" s="9">
        <f t="shared" si="6"/>
        <v>332.67015542692712</v>
      </c>
      <c r="D18" s="9">
        <f>IF(A18=0,0,($C$7*($C$10-6)))</f>
        <v>30</v>
      </c>
      <c r="G18" s="62">
        <v>8</v>
      </c>
      <c r="H18" s="58">
        <f t="shared" si="3"/>
        <v>0.29030172799196097</v>
      </c>
      <c r="I18" s="3"/>
      <c r="J18" s="3"/>
      <c r="K18" s="3"/>
      <c r="L18" s="3"/>
      <c r="M18" s="3"/>
      <c r="N18" s="3"/>
      <c r="O18" s="3"/>
      <c r="P18" s="59">
        <f>H6*H18*100</f>
        <v>174.18103679517657</v>
      </c>
      <c r="Q18" s="59">
        <f>H18*100*(H6-H5)</f>
        <v>87.090518397588298</v>
      </c>
      <c r="R18" s="59">
        <f t="shared" ref="R18:X18" si="13">$H$18*100*($H$6-$H$5*J10)</f>
        <v>0</v>
      </c>
      <c r="S18" s="59">
        <f t="shared" si="13"/>
        <v>-87.090518397588298</v>
      </c>
      <c r="T18" s="59">
        <f t="shared" si="13"/>
        <v>-174.1810367951766</v>
      </c>
      <c r="U18" s="59">
        <f t="shared" si="13"/>
        <v>-261.27155519276488</v>
      </c>
      <c r="V18" s="59">
        <f t="shared" si="13"/>
        <v>-348.36207359035319</v>
      </c>
      <c r="W18" s="59">
        <f t="shared" si="13"/>
        <v>-435.45259198794145</v>
      </c>
      <c r="X18" s="59">
        <f t="shared" si="13"/>
        <v>-522.54311038552976</v>
      </c>
    </row>
    <row r="19" spans="1:24" ht="16.8">
      <c r="A19" s="47" t="str">
        <f t="shared" si="8"/>
        <v>L7</v>
      </c>
      <c r="B19" s="10">
        <f t="shared" si="9"/>
        <v>0.17942010382692272</v>
      </c>
      <c r="C19" s="9">
        <f t="shared" si="6"/>
        <v>484.43428033269134</v>
      </c>
      <c r="D19" s="9">
        <f>IF(A19=0,0,($C$7*($C$10-7)))</f>
        <v>27</v>
      </c>
      <c r="G19" s="62">
        <v>9</v>
      </c>
      <c r="H19" s="58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59">
        <f>H6*H19*100</f>
        <v>281.82491753459573</v>
      </c>
      <c r="R19" s="59">
        <f>H19*100*(H6-H5)</f>
        <v>140.91245876729786</v>
      </c>
      <c r="S19" s="59">
        <f t="shared" ref="S19:X19" si="14">$H$19*100*($H$6-$H$5*J10)</f>
        <v>0</v>
      </c>
      <c r="T19" s="59">
        <f t="shared" si="14"/>
        <v>-140.91245876729786</v>
      </c>
      <c r="U19" s="59">
        <f t="shared" si="14"/>
        <v>-281.82491753459573</v>
      </c>
      <c r="V19" s="59">
        <f t="shared" si="14"/>
        <v>-422.73737630189356</v>
      </c>
      <c r="W19" s="59">
        <f t="shared" si="14"/>
        <v>-563.64983506919145</v>
      </c>
      <c r="X19" s="59">
        <f t="shared" si="14"/>
        <v>-704.56229383648929</v>
      </c>
    </row>
    <row r="20" spans="1:24" ht="16.8">
      <c r="A20" s="47" t="str">
        <f>IF(A19=0,0,IF(VALUE(MID(A19,2,2))&gt;=$C$10,0,"L"&amp;VALUE(MID(A19,2,2))+1))</f>
        <v>L8</v>
      </c>
      <c r="B20" s="10">
        <f t="shared" si="9"/>
        <v>0.29030172799196097</v>
      </c>
      <c r="C20" s="9">
        <f t="shared" si="6"/>
        <v>696.72414718070627</v>
      </c>
      <c r="D20" s="9">
        <f>IF(A20=0,0,($C$7*($C$10-8)))</f>
        <v>24</v>
      </c>
      <c r="G20" s="62">
        <v>10</v>
      </c>
      <c r="H20" s="58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59">
        <f>H6*H20*100</f>
        <v>455.99271657097586</v>
      </c>
      <c r="S20" s="59">
        <f>H20*100*(H6-H5)</f>
        <v>227.99635828548799</v>
      </c>
      <c r="T20" s="59">
        <f>$H$20*100*($H$6-$H$5*J10)</f>
        <v>0</v>
      </c>
      <c r="U20" s="59">
        <f>$H$20*100*($H$6-$H$5*K10)</f>
        <v>-227.99635828548799</v>
      </c>
      <c r="V20" s="59">
        <f>$H$20*100*($H$6-$H$5*L10)</f>
        <v>-455.99271657097597</v>
      </c>
      <c r="W20" s="59">
        <f>$H$20*100*($H$6-$H$5*M10)</f>
        <v>-683.98907485646396</v>
      </c>
      <c r="X20" s="59">
        <f>$H$20*100*($H$6-$H$5*N10)</f>
        <v>-911.98543314195194</v>
      </c>
    </row>
    <row r="21" spans="1:24" ht="16.8">
      <c r="A21" s="47" t="str">
        <f t="shared" si="8"/>
        <v>L9</v>
      </c>
      <c r="B21" s="10">
        <f t="shared" si="9"/>
        <v>0.46970819589099289</v>
      </c>
      <c r="C21" s="9">
        <f t="shared" si="6"/>
        <v>986.38721137108507</v>
      </c>
      <c r="D21" s="9">
        <f>IF(A21=0,0,($C$7*($C$10-9)))</f>
        <v>21</v>
      </c>
      <c r="G21" s="62">
        <v>11</v>
      </c>
      <c r="H21" s="58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60">
        <f>H6*H21*100</f>
        <v>737.79621541183906</v>
      </c>
      <c r="T21" s="60">
        <f>H21*100*(H6-H5)</f>
        <v>368.89810770591953</v>
      </c>
      <c r="U21" s="60">
        <f>$H$21*100*($H$6-$H$5*J10)</f>
        <v>0</v>
      </c>
      <c r="V21" s="60">
        <f>$H$21*100*($H$6-$H$5*K10)</f>
        <v>-368.89810770591953</v>
      </c>
      <c r="W21" s="60">
        <f>$H$21*100*($H$6-$H$5*L10)</f>
        <v>-737.79621541183906</v>
      </c>
      <c r="X21" s="60">
        <f>$H$21*100*($H$6-$H$5*M10)</f>
        <v>-1106.6943231177586</v>
      </c>
    </row>
    <row r="22" spans="1:24" ht="16.8">
      <c r="A22" s="47" t="str">
        <f t="shared" si="8"/>
        <v>L10</v>
      </c>
      <c r="B22" s="10">
        <f t="shared" si="9"/>
        <v>0.75998786095162651</v>
      </c>
      <c r="C22" s="9">
        <f t="shared" si="6"/>
        <v>1367.9781497129277</v>
      </c>
      <c r="D22" s="9">
        <f>IF(A22=0,0,($C$7*($C$10-10)))</f>
        <v>18</v>
      </c>
      <c r="G22" s="62">
        <v>12</v>
      </c>
      <c r="H22" s="58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60"/>
      <c r="T22" s="60">
        <f>H6*H22*100</f>
        <v>1193.7542765363555</v>
      </c>
      <c r="U22" s="60">
        <f>H22*100*(H6-H5)</f>
        <v>596.87713826817787</v>
      </c>
      <c r="V22" s="60">
        <f>$H$22*100*($H$6-$H$5*J10)</f>
        <v>0</v>
      </c>
      <c r="W22" s="60">
        <f>$H$22*100*($H$6-$H$5*K10)</f>
        <v>-596.87713826817787</v>
      </c>
      <c r="X22" s="60">
        <f>$H$22*100*($H$6-$H$5*L10)</f>
        <v>-1193.7542765363557</v>
      </c>
    </row>
    <row r="23" spans="1:24" ht="16.8">
      <c r="A23" s="47" t="str">
        <f t="shared" si="8"/>
        <v>L11</v>
      </c>
      <c r="B23" s="10">
        <f t="shared" si="9"/>
        <v>1.2296603590197317</v>
      </c>
      <c r="C23" s="9">
        <f t="shared" si="6"/>
        <v>1844.4905385295974</v>
      </c>
      <c r="D23" s="9">
        <f>IF(A23=0,0,($C$7*($C$10-11)))</f>
        <v>15</v>
      </c>
      <c r="G23" s="62">
        <v>13</v>
      </c>
      <c r="H23" s="58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60"/>
      <c r="T23" s="60"/>
      <c r="U23" s="60">
        <f>H6*H23*100</f>
        <v>1931.4944194358236</v>
      </c>
      <c r="V23" s="60">
        <f>H23*100*(H6-H5)</f>
        <v>965.7472097179118</v>
      </c>
      <c r="W23" s="60">
        <f>$H$23*100*($H$6-$H$5*J10)</f>
        <v>0</v>
      </c>
      <c r="X23" s="60">
        <f>$H$23*100*($H$6-$H$5*K10)</f>
        <v>-965.7472097179118</v>
      </c>
    </row>
    <row r="24" spans="1:24" ht="16.8">
      <c r="A24" s="47" t="str">
        <f t="shared" si="8"/>
        <v>L12</v>
      </c>
      <c r="B24" s="10">
        <f t="shared" si="9"/>
        <v>1.9895904608939261</v>
      </c>
      <c r="C24" s="9">
        <f t="shared" si="6"/>
        <v>2387.508553072711</v>
      </c>
      <c r="D24" s="9">
        <f>IF(A24=0,0,($C$7*($C$10-12)))</f>
        <v>12</v>
      </c>
      <c r="G24" s="62">
        <v>14</v>
      </c>
      <c r="H24" s="58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60"/>
      <c r="T24" s="60"/>
      <c r="U24" s="60"/>
      <c r="V24" s="60">
        <f>H6*H24*100</f>
        <v>3125.157970647163</v>
      </c>
      <c r="W24" s="60">
        <f>H24*100*(H6-H5)</f>
        <v>1562.5789853235817</v>
      </c>
      <c r="X24" s="60">
        <f>$H$24*100*($H$6-$H$5*J10)</f>
        <v>0</v>
      </c>
    </row>
    <row r="25" spans="1:24" ht="16.8">
      <c r="A25" s="47" t="str">
        <f t="shared" si="8"/>
        <v>L13</v>
      </c>
      <c r="B25" s="10">
        <f t="shared" si="9"/>
        <v>3.2191573657263728</v>
      </c>
      <c r="C25" s="9">
        <f t="shared" si="6"/>
        <v>2897.2416291537356</v>
      </c>
      <c r="D25" s="9">
        <f>IF(A25=0,0,($C$7*($C$10-13)))</f>
        <v>9</v>
      </c>
      <c r="G25" s="62">
        <v>15</v>
      </c>
      <c r="H25" s="58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60"/>
      <c r="T25" s="60"/>
      <c r="U25" s="60"/>
      <c r="V25" s="60"/>
      <c r="W25" s="60">
        <f>H6*H25*100</f>
        <v>5056.5055965071115</v>
      </c>
      <c r="X25" s="60">
        <f>H24*100*(H6-H5)</f>
        <v>1562.5789853235817</v>
      </c>
    </row>
    <row r="26" spans="1:24" ht="16.8">
      <c r="A26" s="47" t="str">
        <f t="shared" si="8"/>
        <v>L14</v>
      </c>
      <c r="B26" s="10">
        <f t="shared" si="9"/>
        <v>5.2085966177452718</v>
      </c>
      <c r="C26" s="9">
        <f t="shared" si="6"/>
        <v>3125.157970647163</v>
      </c>
      <c r="D26" s="9">
        <f>IF(A26=0,0,($C$7*($C$10-14)))</f>
        <v>6</v>
      </c>
      <c r="G26" s="62">
        <v>16</v>
      </c>
      <c r="H26" s="58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60"/>
      <c r="T26" s="60"/>
      <c r="U26" s="60"/>
      <c r="V26" s="60"/>
      <c r="W26" s="60"/>
      <c r="X26" s="60">
        <f>H26*H6*100</f>
        <v>8181.4260551485049</v>
      </c>
    </row>
    <row r="27" spans="1:24" ht="16.8">
      <c r="A27" s="47" t="str">
        <f t="shared" si="8"/>
        <v>L15</v>
      </c>
      <c r="B27" s="10">
        <f t="shared" si="9"/>
        <v>8.4275093275118511</v>
      </c>
      <c r="C27" s="9">
        <f t="shared" si="6"/>
        <v>2528.2527982535557</v>
      </c>
      <c r="D27" s="9">
        <f>IF(A27=0,0,($C$7*($C$10-15)))</f>
        <v>3</v>
      </c>
      <c r="G27" s="64" t="s">
        <v>51</v>
      </c>
      <c r="H27" s="65"/>
      <c r="I27" s="66">
        <f t="shared" ref="I27:X27" si="15">SUM(I11:I26)</f>
        <v>6</v>
      </c>
      <c r="J27" s="66">
        <f t="shared" si="15"/>
        <v>12.707999999999998</v>
      </c>
      <c r="K27" s="66">
        <f t="shared" si="15"/>
        <v>20.561544000000001</v>
      </c>
      <c r="L27" s="66">
        <f t="shared" si="15"/>
        <v>30.268578192</v>
      </c>
      <c r="M27" s="66">
        <f t="shared" si="15"/>
        <v>42.974559514656015</v>
      </c>
      <c r="N27" s="66">
        <f t="shared" si="15"/>
        <v>60.532837294713431</v>
      </c>
      <c r="O27" s="66">
        <f t="shared" si="15"/>
        <v>85.942130742846345</v>
      </c>
      <c r="P27" s="66">
        <f t="shared" si="15"/>
        <v>124.05436754192537</v>
      </c>
      <c r="Q27" s="66">
        <f t="shared" si="15"/>
        <v>182.71996668283532</v>
      </c>
      <c r="R27" s="66">
        <f t="shared" si="15"/>
        <v>274.64090609282744</v>
      </c>
      <c r="S27" s="66">
        <f t="shared" si="15"/>
        <v>420.36898605819499</v>
      </c>
      <c r="T27" s="66">
        <f t="shared" si="15"/>
        <v>653.15701944215925</v>
      </c>
      <c r="U27" s="66">
        <f t="shared" si="15"/>
        <v>1026.8080574574142</v>
      </c>
      <c r="V27" s="66">
        <f t="shared" si="15"/>
        <v>1628.3754369660958</v>
      </c>
      <c r="W27" s="66">
        <f t="shared" si="15"/>
        <v>2598.7114570111453</v>
      </c>
      <c r="X27" s="66">
        <f t="shared" si="15"/>
        <v>3200.0413245140589</v>
      </c>
    </row>
    <row r="28" spans="1:24" ht="16.8">
      <c r="A28" s="47" t="str">
        <f t="shared" si="8"/>
        <v>L16</v>
      </c>
      <c r="B28" s="10">
        <f t="shared" si="9"/>
        <v>13.635710091914175</v>
      </c>
      <c r="C28" s="9">
        <f t="shared" si="6"/>
        <v>0</v>
      </c>
      <c r="D28" s="9">
        <f>IF(A28=0,0,($C$7*($C$10-16)))</f>
        <v>0</v>
      </c>
      <c r="G28" s="1"/>
      <c r="H28" s="1"/>
      <c r="I28" s="69">
        <f>SUM($H11:$H11)</f>
        <v>0.01</v>
      </c>
      <c r="J28" s="69">
        <f>SUM($H11:$H12)</f>
        <v>2.6180000000000002E-2</v>
      </c>
      <c r="K28" s="69">
        <f>SUM($H11:$H13)</f>
        <v>5.2359240000000001E-2</v>
      </c>
      <c r="L28" s="69">
        <f>SUM($H11:$H14)</f>
        <v>9.4717250320000002E-2</v>
      </c>
      <c r="M28" s="69">
        <f>SUM($H11:$H15)</f>
        <v>0.16325251101776</v>
      </c>
      <c r="N28" s="69">
        <f>SUM($H11:$H16)</f>
        <v>0.27414256282673571</v>
      </c>
      <c r="O28" s="69">
        <f>SUM($H11:$H17)</f>
        <v>0.45356266665365841</v>
      </c>
      <c r="P28" s="69">
        <f>SUM($H11:$H18)</f>
        <v>0.74386439464561938</v>
      </c>
      <c r="Q28" s="69">
        <f>SUM($H11:$H19)</f>
        <v>1.2135725905366122</v>
      </c>
      <c r="R28" s="69">
        <f>SUM($H11:$H20)</f>
        <v>1.9735604514882388</v>
      </c>
      <c r="S28" s="69">
        <f>SUM($H11:$H21)</f>
        <v>3.2032208105079705</v>
      </c>
      <c r="T28" s="69">
        <f>SUM($H11:$H22)</f>
        <v>5.1928112714018964</v>
      </c>
      <c r="U28" s="69">
        <f>SUM($H11:$H23)</f>
        <v>8.4119686371282683</v>
      </c>
      <c r="V28" s="69">
        <f>SUM($H11:$H24)</f>
        <v>13.62056525487354</v>
      </c>
      <c r="W28" s="69">
        <f>SUM($H11:$H25)</f>
        <v>22.048074582385389</v>
      </c>
      <c r="X28" s="69">
        <f>SUM($H11:$H26)</f>
        <v>35.683784674299567</v>
      </c>
    </row>
    <row r="29" spans="1:24" ht="16.8">
      <c r="A29" s="47">
        <f t="shared" si="8"/>
        <v>0</v>
      </c>
      <c r="B29" s="10">
        <f t="shared" si="9"/>
        <v>0</v>
      </c>
      <c r="C29" s="9">
        <f t="shared" si="6"/>
        <v>0</v>
      </c>
      <c r="D29" s="9">
        <f>IF(A29=0,0,($C$7*($C$10-17)))</f>
        <v>0</v>
      </c>
    </row>
    <row r="30" spans="1:24" ht="16.8">
      <c r="A30" s="47">
        <f t="shared" si="8"/>
        <v>0</v>
      </c>
      <c r="B30" s="10">
        <f t="shared" si="9"/>
        <v>0</v>
      </c>
      <c r="C30" s="9">
        <f t="shared" si="6"/>
        <v>0</v>
      </c>
      <c r="D30" s="9">
        <f>IF(A30=0,0,($C$7*($C$10-18)))</f>
        <v>0</v>
      </c>
    </row>
    <row r="31" spans="1:24" ht="16.8">
      <c r="A31" s="47">
        <f t="shared" si="8"/>
        <v>0</v>
      </c>
      <c r="B31" s="10">
        <f t="shared" si="9"/>
        <v>0</v>
      </c>
      <c r="C31" s="9">
        <f t="shared" si="6"/>
        <v>0</v>
      </c>
      <c r="D31" s="9">
        <f>IF(A31=0,0,($C$7*($C$10-19)))</f>
        <v>0</v>
      </c>
    </row>
    <row r="32" spans="1:24" ht="16.8">
      <c r="A32" s="47">
        <f t="shared" si="8"/>
        <v>0</v>
      </c>
      <c r="B32" s="10">
        <f t="shared" si="9"/>
        <v>0</v>
      </c>
      <c r="C32" s="9">
        <f t="shared" si="6"/>
        <v>0</v>
      </c>
      <c r="D32" s="9">
        <f>IF(A32=0,0,($C$7*($C$10-20)))</f>
        <v>0</v>
      </c>
    </row>
    <row r="33" spans="1:4" ht="16.8">
      <c r="A33" s="47">
        <f t="shared" si="8"/>
        <v>0</v>
      </c>
      <c r="B33" s="10">
        <f t="shared" si="9"/>
        <v>0</v>
      </c>
      <c r="C33" s="9">
        <f t="shared" si="6"/>
        <v>0</v>
      </c>
      <c r="D33" s="9">
        <f t="shared" ref="D33:D43" si="16">IF(A33=0,0,($C$7*($C$10-20)))</f>
        <v>0</v>
      </c>
    </row>
    <row r="34" spans="1:4" ht="16.8">
      <c r="A34" s="47">
        <f t="shared" si="8"/>
        <v>0</v>
      </c>
      <c r="B34" s="10">
        <f t="shared" si="9"/>
        <v>0</v>
      </c>
      <c r="C34" s="9">
        <f t="shared" si="6"/>
        <v>0</v>
      </c>
      <c r="D34" s="9">
        <f t="shared" si="16"/>
        <v>0</v>
      </c>
    </row>
    <row r="35" spans="1:4" ht="16.8">
      <c r="A35" s="47">
        <f t="shared" si="8"/>
        <v>0</v>
      </c>
      <c r="B35" s="10">
        <f t="shared" si="9"/>
        <v>0</v>
      </c>
      <c r="C35" s="9">
        <f t="shared" si="6"/>
        <v>0</v>
      </c>
      <c r="D35" s="9">
        <f t="shared" si="16"/>
        <v>0</v>
      </c>
    </row>
    <row r="36" spans="1:4" ht="16.8">
      <c r="A36" s="47">
        <f t="shared" si="8"/>
        <v>0</v>
      </c>
      <c r="B36" s="10">
        <f t="shared" si="9"/>
        <v>0</v>
      </c>
      <c r="C36" s="9">
        <f t="shared" si="6"/>
        <v>0</v>
      </c>
      <c r="D36" s="9">
        <f t="shared" si="16"/>
        <v>0</v>
      </c>
    </row>
    <row r="37" spans="1:4" ht="16.8">
      <c r="A37" s="47">
        <f t="shared" si="8"/>
        <v>0</v>
      </c>
      <c r="B37" s="10">
        <f t="shared" si="9"/>
        <v>0</v>
      </c>
      <c r="C37" s="9">
        <f t="shared" si="6"/>
        <v>0</v>
      </c>
      <c r="D37" s="9">
        <f t="shared" si="16"/>
        <v>0</v>
      </c>
    </row>
    <row r="38" spans="1:4" ht="16.8">
      <c r="A38" s="47">
        <f t="shared" si="8"/>
        <v>0</v>
      </c>
      <c r="B38" s="10">
        <f t="shared" si="9"/>
        <v>0</v>
      </c>
      <c r="C38" s="9">
        <f t="shared" si="6"/>
        <v>0</v>
      </c>
      <c r="D38" s="9">
        <f t="shared" si="16"/>
        <v>0</v>
      </c>
    </row>
    <row r="39" spans="1:4" ht="16.8">
      <c r="A39" s="47">
        <f t="shared" si="8"/>
        <v>0</v>
      </c>
      <c r="B39" s="10">
        <f t="shared" si="9"/>
        <v>0</v>
      </c>
      <c r="C39" s="9">
        <f t="shared" si="6"/>
        <v>0</v>
      </c>
      <c r="D39" s="9">
        <f t="shared" si="16"/>
        <v>0</v>
      </c>
    </row>
    <row r="40" spans="1:4" ht="16.8">
      <c r="A40" s="47">
        <f t="shared" si="8"/>
        <v>0</v>
      </c>
      <c r="B40" s="10">
        <f t="shared" si="9"/>
        <v>0</v>
      </c>
      <c r="C40" s="9">
        <f t="shared" si="6"/>
        <v>0</v>
      </c>
      <c r="D40" s="9">
        <f t="shared" si="16"/>
        <v>0</v>
      </c>
    </row>
    <row r="41" spans="1:4" ht="16.8">
      <c r="A41" s="47">
        <f t="shared" si="8"/>
        <v>0</v>
      </c>
      <c r="B41" s="10">
        <f t="shared" si="9"/>
        <v>0</v>
      </c>
      <c r="C41" s="9">
        <f t="shared" si="6"/>
        <v>0</v>
      </c>
      <c r="D41" s="9">
        <f t="shared" si="16"/>
        <v>0</v>
      </c>
    </row>
    <row r="42" spans="1:4" ht="16.8">
      <c r="A42" s="47">
        <f t="shared" si="8"/>
        <v>0</v>
      </c>
      <c r="B42" s="10">
        <f t="shared" si="9"/>
        <v>0</v>
      </c>
      <c r="C42" s="9">
        <f t="shared" si="6"/>
        <v>0</v>
      </c>
      <c r="D42" s="9">
        <f t="shared" si="16"/>
        <v>0</v>
      </c>
    </row>
    <row r="43" spans="1:4" ht="17.399999999999999" thickBot="1">
      <c r="A43" s="47">
        <f t="shared" si="8"/>
        <v>0</v>
      </c>
      <c r="B43" s="10">
        <f t="shared" si="9"/>
        <v>0</v>
      </c>
      <c r="C43" s="9">
        <f t="shared" si="6"/>
        <v>0</v>
      </c>
      <c r="D43" s="9">
        <f t="shared" si="16"/>
        <v>0</v>
      </c>
    </row>
    <row r="44" spans="1:4" ht="18" thickTop="1" thickBot="1">
      <c r="A44" s="76" t="s">
        <v>12</v>
      </c>
      <c r="B44" s="77"/>
      <c r="C44" s="48">
        <f>SUM(C13:C43)</f>
        <v>17244.555667135704</v>
      </c>
      <c r="D44" s="49">
        <f>MAX(D13:D43)</f>
        <v>45</v>
      </c>
    </row>
    <row r="45" spans="1:4" ht="13.8" thickTop="1"/>
  </sheetData>
  <protectedRanges>
    <protectedRange sqref="C2:D10" name="DATA_2"/>
  </protectedRanges>
  <mergeCells count="26">
    <mergeCell ref="A4:B4"/>
    <mergeCell ref="C4:D4"/>
    <mergeCell ref="A1:D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  <mergeCell ref="A44:B44"/>
    <mergeCell ref="A8:B8"/>
    <mergeCell ref="C8:D8"/>
    <mergeCell ref="A9:B9"/>
    <mergeCell ref="C9:D9"/>
    <mergeCell ref="A10:B10"/>
    <mergeCell ref="C10:D10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5" priority="14">
      <formula>$I$10=$C$10</formula>
    </cfRule>
  </conditionalFormatting>
  <conditionalFormatting sqref="J10">
    <cfRule type="expression" dxfId="14" priority="15">
      <formula>$J$10=$C$10</formula>
    </cfRule>
  </conditionalFormatting>
  <conditionalFormatting sqref="K10">
    <cfRule type="expression" dxfId="13" priority="16">
      <formula>$K$10=$C$10</formula>
    </cfRule>
  </conditionalFormatting>
  <conditionalFormatting sqref="L10">
    <cfRule type="expression" dxfId="12" priority="13">
      <formula>$L$10=$C$10</formula>
    </cfRule>
  </conditionalFormatting>
  <conditionalFormatting sqref="M10">
    <cfRule type="expression" dxfId="11" priority="12">
      <formula>$M$10=$C$10</formula>
    </cfRule>
  </conditionalFormatting>
  <conditionalFormatting sqref="N10">
    <cfRule type="expression" dxfId="10" priority="11">
      <formula>$N$10=$C$10</formula>
    </cfRule>
  </conditionalFormatting>
  <conditionalFormatting sqref="O10">
    <cfRule type="expression" dxfId="9" priority="10">
      <formula>$O$10=$C$10</formula>
    </cfRule>
  </conditionalFormatting>
  <conditionalFormatting sqref="P10">
    <cfRule type="expression" dxfId="8" priority="9">
      <formula>$P$10=$C$10</formula>
    </cfRule>
  </conditionalFormatting>
  <conditionalFormatting sqref="Q10">
    <cfRule type="expression" dxfId="7" priority="8">
      <formula>$Q$10=$C$10</formula>
    </cfRule>
  </conditionalFormatting>
  <conditionalFormatting sqref="R10">
    <cfRule type="expression" dxfId="6" priority="7">
      <formula>$R$10=$C$10</formula>
    </cfRule>
  </conditionalFormatting>
  <conditionalFormatting sqref="S10">
    <cfRule type="expression" dxfId="5" priority="6">
      <formula>$S$10=$C$10</formula>
    </cfRule>
  </conditionalFormatting>
  <conditionalFormatting sqref="T10">
    <cfRule type="expression" dxfId="4" priority="5">
      <formula>$T$10=$C$10</formula>
    </cfRule>
  </conditionalFormatting>
  <conditionalFormatting sqref="U10">
    <cfRule type="expression" dxfId="3" priority="4">
      <formula>$U$10=$C$10</formula>
    </cfRule>
  </conditionalFormatting>
  <conditionalFormatting sqref="V10">
    <cfRule type="expression" dxfId="2" priority="3">
      <formula>$V$10=$C$10</formula>
    </cfRule>
  </conditionalFormatting>
  <conditionalFormatting sqref="W10">
    <cfRule type="expression" dxfId="1" priority="2">
      <formula>$W$10=$C$10</formula>
    </cfRule>
  </conditionalFormatting>
  <conditionalFormatting sqref="X10">
    <cfRule type="expression" dxfId="0" priority="1">
      <formula>$X$10=$C$10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selection activeCell="K31" sqref="K31"/>
    </sheetView>
  </sheetViews>
  <sheetFormatPr defaultColWidth="9.109375" defaultRowHeight="13.8"/>
  <cols>
    <col min="1" max="1" width="9.109375" style="13"/>
    <col min="2" max="2" width="6" style="13" customWidth="1"/>
    <col min="3" max="4" width="9.109375" style="39"/>
    <col min="5" max="5" width="15.44140625" style="39" bestFit="1" customWidth="1"/>
    <col min="6" max="6" width="9.109375" style="39"/>
    <col min="7" max="20" width="9.109375" style="13"/>
    <col min="21" max="21" width="10.44140625" style="13" customWidth="1"/>
    <col min="22" max="16384" width="9.109375" style="13"/>
  </cols>
  <sheetData>
    <row r="1" spans="2:23">
      <c r="B1" s="99" t="s">
        <v>58</v>
      </c>
      <c r="C1" s="99"/>
      <c r="D1" s="99"/>
      <c r="E1" s="14" t="s">
        <v>55</v>
      </c>
      <c r="F1" s="15">
        <v>1</v>
      </c>
      <c r="G1" s="15">
        <v>1.6</v>
      </c>
      <c r="H1" s="15">
        <v>1.7</v>
      </c>
    </row>
    <row r="2" spans="2:23">
      <c r="B2" s="99" t="s">
        <v>59</v>
      </c>
      <c r="C2" s="99"/>
      <c r="D2" s="100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>
      <c r="B3" s="99"/>
      <c r="C3" s="99"/>
      <c r="D3" s="100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>
      <c r="B4" s="101" t="s">
        <v>60</v>
      </c>
      <c r="C4" s="101"/>
      <c r="D4" s="102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>
      <c r="B5" s="50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>
      <c r="B23" s="26" t="s">
        <v>62</v>
      </c>
      <c r="F23" s="40"/>
      <c r="G23" s="32"/>
    </row>
    <row r="24" spans="2:23" ht="14.4" thickBot="1">
      <c r="B24" s="26" t="s">
        <v>63</v>
      </c>
      <c r="F24" s="40">
        <f>SUM(F6:F20)</f>
        <v>36.629999999999995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2:23" ht="14.4" thickBot="1">
      <c r="B25" s="26" t="s">
        <v>64</v>
      </c>
      <c r="F25" s="40"/>
      <c r="G25" s="32"/>
    </row>
    <row r="26" spans="2:23" ht="14.4" thickBot="1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>
      <c r="B27" s="26" t="s">
        <v>66</v>
      </c>
      <c r="F27" s="40"/>
    </row>
    <row r="28" spans="2:23" ht="14.4" thickBot="1">
      <c r="B28" s="26" t="s">
        <v>67</v>
      </c>
      <c r="F28" s="40"/>
    </row>
    <row r="29" spans="2:23" ht="14.4" thickBot="1">
      <c r="B29" s="26" t="s">
        <v>68</v>
      </c>
      <c r="F29" s="40"/>
    </row>
    <row r="30" spans="2:23">
      <c r="B30" s="26" t="s">
        <v>69</v>
      </c>
    </row>
    <row r="31" spans="2:23">
      <c r="B31" s="26" t="s">
        <v>70</v>
      </c>
    </row>
    <row r="32" spans="2:23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Input L30</vt:lpstr>
      <vt:lpstr>Tính TP thay đổi hệ số, quãng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2024-03-26T18:25:06Z</dcterms:modified>
</cp:coreProperties>
</file>