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9F3729BB-3286-4BB8-8168-C0DE0300C7AE}" xr6:coauthVersionLast="47" xr6:coauthVersionMax="47" xr10:uidLastSave="{00000000-0000-0000-0000-000000000000}"/>
  <bookViews>
    <workbookView xWindow="5724" yWindow="0" windowWidth="32100" windowHeight="16680" xr2:uid="{00000000-000D-0000-FFFF-FFFF00000000}"/>
  </bookViews>
  <sheets>
    <sheet name="Bảng Input L30" sheetId="2" r:id="rId1"/>
    <sheet name="Tính TP thay đổi hệ số, quãng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K7" i="2" s="1"/>
  <c r="J8" i="2" l="1"/>
  <c r="K8" i="2"/>
  <c r="L7" i="2"/>
  <c r="C3" i="2"/>
  <c r="C4" i="2" s="1"/>
  <c r="C5" i="2" s="1"/>
  <c r="C6" i="2" s="1"/>
  <c r="C7" i="2" s="1"/>
  <c r="F13" i="7"/>
  <c r="F7" i="7"/>
  <c r="F8" i="7" s="1"/>
  <c r="F9" i="7" s="1"/>
  <c r="F10" i="7" s="1"/>
  <c r="F11" i="7" s="1"/>
  <c r="D6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C7" i="7"/>
  <c r="C8" i="7" s="1"/>
  <c r="H3" i="7"/>
  <c r="C5" i="7"/>
  <c r="L8" i="2" l="1"/>
  <c r="M7" i="2"/>
  <c r="E5" i="7"/>
  <c r="D5" i="7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H6" i="7"/>
  <c r="J3" i="7"/>
  <c r="K3" i="7"/>
  <c r="L3" i="7"/>
  <c r="L6" i="7" s="1"/>
  <c r="M3" i="7"/>
  <c r="N3" i="7"/>
  <c r="O3" i="7"/>
  <c r="P3" i="7"/>
  <c r="P6" i="7" s="1"/>
  <c r="Q3" i="7"/>
  <c r="R3" i="7"/>
  <c r="S3" i="7"/>
  <c r="T3" i="7"/>
  <c r="T6" i="7" s="1"/>
  <c r="U3" i="7"/>
  <c r="I3" i="7"/>
  <c r="G6" i="7"/>
  <c r="G21" i="7" s="1"/>
  <c r="B13" i="2"/>
  <c r="H11" i="2" l="1"/>
  <c r="N11" i="2" s="1"/>
  <c r="N7" i="2"/>
  <c r="M8" i="2"/>
  <c r="J11" i="2"/>
  <c r="R11" i="2"/>
  <c r="O11" i="2"/>
  <c r="S11" i="2"/>
  <c r="I28" i="2"/>
  <c r="U11" i="2"/>
  <c r="I11" i="2"/>
  <c r="I27" i="2" s="1"/>
  <c r="L11" i="7"/>
  <c r="F24" i="7"/>
  <c r="R8" i="7"/>
  <c r="K7" i="7"/>
  <c r="I8" i="7"/>
  <c r="J7" i="7"/>
  <c r="R7" i="7"/>
  <c r="N7" i="7"/>
  <c r="J8" i="7"/>
  <c r="N8" i="7"/>
  <c r="U7" i="7"/>
  <c r="Q7" i="7"/>
  <c r="M7" i="7"/>
  <c r="U8" i="7"/>
  <c r="Q8" i="7"/>
  <c r="M8" i="7"/>
  <c r="T7" i="7"/>
  <c r="P7" i="7"/>
  <c r="L7" i="7"/>
  <c r="T8" i="7"/>
  <c r="P8" i="7"/>
  <c r="L8" i="7"/>
  <c r="S7" i="7"/>
  <c r="O7" i="7"/>
  <c r="S8" i="7"/>
  <c r="O8" i="7"/>
  <c r="K8" i="7"/>
  <c r="H7" i="7"/>
  <c r="H21" i="7" s="1"/>
  <c r="I7" i="7"/>
  <c r="I6" i="7"/>
  <c r="U6" i="7"/>
  <c r="Q6" i="7"/>
  <c r="M6" i="7"/>
  <c r="S6" i="7"/>
  <c r="O6" i="7"/>
  <c r="K6" i="7"/>
  <c r="R6" i="7"/>
  <c r="N6" i="7"/>
  <c r="J6" i="7"/>
  <c r="D7" i="7"/>
  <c r="A13" i="2"/>
  <c r="A14" i="2" s="1"/>
  <c r="T11" i="2" l="1"/>
  <c r="H12" i="2"/>
  <c r="J28" i="2" s="1"/>
  <c r="M11" i="2"/>
  <c r="P11" i="2"/>
  <c r="Q11" i="2"/>
  <c r="K11" i="2"/>
  <c r="L11" i="2"/>
  <c r="W11" i="2"/>
  <c r="X11" i="2"/>
  <c r="V11" i="2"/>
  <c r="O7" i="2"/>
  <c r="N8" i="2"/>
  <c r="J12" i="2"/>
  <c r="J27" i="2" s="1"/>
  <c r="N12" i="2"/>
  <c r="R12" i="2"/>
  <c r="V12" i="2"/>
  <c r="L12" i="2"/>
  <c r="T12" i="2"/>
  <c r="K12" i="2"/>
  <c r="O12" i="2"/>
  <c r="S12" i="2"/>
  <c r="W12" i="2"/>
  <c r="P12" i="2"/>
  <c r="X12" i="2"/>
  <c r="Q12" i="2"/>
  <c r="M12" i="2"/>
  <c r="U12" i="2"/>
  <c r="H13" i="2"/>
  <c r="K28" i="2" s="1"/>
  <c r="I21" i="7"/>
  <c r="D8" i="7"/>
  <c r="A15" i="2"/>
  <c r="D14" i="2"/>
  <c r="B14" i="2"/>
  <c r="D13" i="2"/>
  <c r="C13" i="2" s="1"/>
  <c r="O8" i="2" l="1"/>
  <c r="P7" i="2"/>
  <c r="K13" i="2"/>
  <c r="K27" i="2" s="1"/>
  <c r="O13" i="2"/>
  <c r="S13" i="2"/>
  <c r="W13" i="2"/>
  <c r="M13" i="2"/>
  <c r="U13" i="2"/>
  <c r="L13" i="2"/>
  <c r="P13" i="2"/>
  <c r="T13" i="2"/>
  <c r="X13" i="2"/>
  <c r="Q13" i="2"/>
  <c r="H14" i="2"/>
  <c r="R13" i="2"/>
  <c r="V13" i="2"/>
  <c r="N13" i="2"/>
  <c r="J9" i="7"/>
  <c r="J21" i="7" s="1"/>
  <c r="M9" i="7"/>
  <c r="Q9" i="7"/>
  <c r="U9" i="7"/>
  <c r="L9" i="7"/>
  <c r="T9" i="7"/>
  <c r="N9" i="7"/>
  <c r="R9" i="7"/>
  <c r="K9" i="7"/>
  <c r="O9" i="7"/>
  <c r="S9" i="7"/>
  <c r="P9" i="7"/>
  <c r="D9" i="7"/>
  <c r="A16" i="2"/>
  <c r="D15" i="2"/>
  <c r="B15" i="2"/>
  <c r="C14" i="2"/>
  <c r="P8" i="2" l="1"/>
  <c r="Q7" i="2"/>
  <c r="M14" i="2"/>
  <c r="Q14" i="2"/>
  <c r="U14" i="2"/>
  <c r="H15" i="2"/>
  <c r="N14" i="2"/>
  <c r="O14" i="2"/>
  <c r="W14" i="2"/>
  <c r="R14" i="2"/>
  <c r="V14" i="2"/>
  <c r="S14" i="2"/>
  <c r="T14" i="2"/>
  <c r="X14" i="2"/>
  <c r="P14" i="2"/>
  <c r="L14" i="2"/>
  <c r="L27" i="2" s="1"/>
  <c r="L28" i="2"/>
  <c r="K10" i="7"/>
  <c r="K21" i="7" s="1"/>
  <c r="P10" i="7"/>
  <c r="T10" i="7"/>
  <c r="N10" i="7"/>
  <c r="L10" i="7"/>
  <c r="O10" i="7"/>
  <c r="M10" i="7"/>
  <c r="Q10" i="7"/>
  <c r="U10" i="7"/>
  <c r="R10" i="7"/>
  <c r="S10" i="7"/>
  <c r="D10" i="7"/>
  <c r="C15" i="2"/>
  <c r="A17" i="2"/>
  <c r="D16" i="2"/>
  <c r="B16" i="2"/>
  <c r="Q8" i="2" l="1"/>
  <c r="R7" i="2"/>
  <c r="P15" i="2"/>
  <c r="T15" i="2"/>
  <c r="X15" i="2"/>
  <c r="M15" i="2"/>
  <c r="M27" i="2" s="1"/>
  <c r="U15" i="2"/>
  <c r="H16" i="2"/>
  <c r="N28" i="2" s="1"/>
  <c r="R15" i="2"/>
  <c r="Q15" i="2"/>
  <c r="N15" i="2"/>
  <c r="V15" i="2"/>
  <c r="W15" i="2"/>
  <c r="S15" i="2"/>
  <c r="O15" i="2"/>
  <c r="M28" i="2"/>
  <c r="L21" i="7"/>
  <c r="N11" i="7"/>
  <c r="R11" i="7"/>
  <c r="M11" i="7"/>
  <c r="P11" i="7"/>
  <c r="Q11" i="7"/>
  <c r="O11" i="7"/>
  <c r="S11" i="7"/>
  <c r="T11" i="7"/>
  <c r="U11" i="7"/>
  <c r="D11" i="7"/>
  <c r="A18" i="2"/>
  <c r="D17" i="2"/>
  <c r="B17" i="2"/>
  <c r="C16" i="2"/>
  <c r="S7" i="2" l="1"/>
  <c r="R8" i="2"/>
  <c r="P16" i="2"/>
  <c r="T16" i="2"/>
  <c r="X16" i="2"/>
  <c r="U16" i="2"/>
  <c r="Q16" i="2"/>
  <c r="H17" i="2"/>
  <c r="S16" i="2"/>
  <c r="N16" i="2"/>
  <c r="N27" i="2" s="1"/>
  <c r="V16" i="2"/>
  <c r="O16" i="2"/>
  <c r="W16" i="2"/>
  <c r="R16" i="2"/>
  <c r="M12" i="7"/>
  <c r="M21" i="7" s="1"/>
  <c r="O12" i="7"/>
  <c r="S12" i="7"/>
  <c r="Q12" i="7"/>
  <c r="P12" i="7"/>
  <c r="T12" i="7"/>
  <c r="U12" i="7"/>
  <c r="R12" i="7"/>
  <c r="N12" i="7"/>
  <c r="D12" i="7"/>
  <c r="C17" i="2"/>
  <c r="A19" i="2"/>
  <c r="D18" i="2"/>
  <c r="B18" i="2"/>
  <c r="S8" i="2" l="1"/>
  <c r="T7" i="2"/>
  <c r="Q17" i="2"/>
  <c r="U17" i="2"/>
  <c r="H18" i="2"/>
  <c r="R17" i="2"/>
  <c r="V17" i="2"/>
  <c r="P17" i="2"/>
  <c r="X17" i="2"/>
  <c r="O17" i="2"/>
  <c r="O27" i="2" s="1"/>
  <c r="S17" i="2"/>
  <c r="T17" i="2"/>
  <c r="W17" i="2"/>
  <c r="O28" i="2"/>
  <c r="N13" i="7"/>
  <c r="N21" i="7" s="1"/>
  <c r="S13" i="7"/>
  <c r="Q13" i="7"/>
  <c r="O13" i="7"/>
  <c r="P13" i="7"/>
  <c r="T13" i="7"/>
  <c r="U13" i="7"/>
  <c r="R13" i="7"/>
  <c r="D13" i="7"/>
  <c r="A20" i="2"/>
  <c r="D19" i="2"/>
  <c r="B19" i="2"/>
  <c r="C18" i="2"/>
  <c r="T8" i="2" l="1"/>
  <c r="U7" i="2"/>
  <c r="S18" i="2"/>
  <c r="W18" i="2"/>
  <c r="P18" i="2"/>
  <c r="P27" i="2" s="1"/>
  <c r="T18" i="2"/>
  <c r="X18" i="2"/>
  <c r="V18" i="2"/>
  <c r="R18" i="2"/>
  <c r="Q18" i="2"/>
  <c r="H19" i="2"/>
  <c r="U18" i="2"/>
  <c r="P28" i="2"/>
  <c r="O14" i="7"/>
  <c r="O21" i="7" s="1"/>
  <c r="R14" i="7"/>
  <c r="P14" i="7"/>
  <c r="Q14" i="7"/>
  <c r="U14" i="7"/>
  <c r="S14" i="7"/>
  <c r="T14" i="7"/>
  <c r="D14" i="7"/>
  <c r="C19" i="2"/>
  <c r="A21" i="2"/>
  <c r="D20" i="2"/>
  <c r="B20" i="2"/>
  <c r="V7" i="2" l="1"/>
  <c r="U8" i="2"/>
  <c r="R19" i="2"/>
  <c r="V19" i="2"/>
  <c r="S19" i="2"/>
  <c r="W19" i="2"/>
  <c r="U19" i="2"/>
  <c r="H20" i="2"/>
  <c r="X19" i="2"/>
  <c r="T19" i="2"/>
  <c r="Q19" i="2"/>
  <c r="Q27" i="2" s="1"/>
  <c r="Q28" i="2"/>
  <c r="P15" i="7"/>
  <c r="P21" i="7" s="1"/>
  <c r="T15" i="7"/>
  <c r="Q15" i="7"/>
  <c r="S15" i="7"/>
  <c r="U15" i="7"/>
  <c r="R15" i="7"/>
  <c r="D15" i="7"/>
  <c r="C20" i="2"/>
  <c r="A22" i="2"/>
  <c r="D21" i="2"/>
  <c r="B21" i="2"/>
  <c r="W7" i="2" l="1"/>
  <c r="V8" i="2"/>
  <c r="R20" i="2"/>
  <c r="R27" i="2" s="1"/>
  <c r="V20" i="2"/>
  <c r="S20" i="2"/>
  <c r="W20" i="2"/>
  <c r="U20" i="2"/>
  <c r="T20" i="2"/>
  <c r="X20" i="2"/>
  <c r="H21" i="2"/>
  <c r="R28" i="2"/>
  <c r="Q16" i="7"/>
  <c r="Q21" i="7" s="1"/>
  <c r="U16" i="7"/>
  <c r="T16" i="7"/>
  <c r="R16" i="7"/>
  <c r="S16" i="7"/>
  <c r="D16" i="7"/>
  <c r="C21" i="2"/>
  <c r="A23" i="2"/>
  <c r="D22" i="2"/>
  <c r="B22" i="2"/>
  <c r="X7" i="2" l="1"/>
  <c r="X8" i="2" s="1"/>
  <c r="W8" i="2"/>
  <c r="S21" i="2"/>
  <c r="S27" i="2" s="1"/>
  <c r="W21" i="2"/>
  <c r="T21" i="2"/>
  <c r="X21" i="2"/>
  <c r="V21" i="2"/>
  <c r="H22" i="2"/>
  <c r="U21" i="2"/>
  <c r="S28" i="2"/>
  <c r="R17" i="7"/>
  <c r="R21" i="7" s="1"/>
  <c r="U17" i="7"/>
  <c r="S17" i="7"/>
  <c r="T17" i="7"/>
  <c r="D17" i="7"/>
  <c r="C22" i="2"/>
  <c r="A24" i="2"/>
  <c r="D24" i="2" s="1"/>
  <c r="D23" i="2"/>
  <c r="B23" i="2"/>
  <c r="U22" i="2" l="1"/>
  <c r="H23" i="2"/>
  <c r="V22" i="2"/>
  <c r="X22" i="2"/>
  <c r="W22" i="2"/>
  <c r="T22" i="2"/>
  <c r="T27" i="2" s="1"/>
  <c r="T28" i="2"/>
  <c r="S18" i="7"/>
  <c r="S21" i="7" s="1"/>
  <c r="U18" i="7"/>
  <c r="T18" i="7"/>
  <c r="D18" i="7"/>
  <c r="C23" i="2"/>
  <c r="A25" i="2"/>
  <c r="D25" i="2" s="1"/>
  <c r="B24" i="2"/>
  <c r="X23" i="2" l="1"/>
  <c r="H24" i="2"/>
  <c r="U23" i="2"/>
  <c r="U27" i="2" s="1"/>
  <c r="W23" i="2"/>
  <c r="V23" i="2"/>
  <c r="U28" i="2"/>
  <c r="T19" i="7"/>
  <c r="T21" i="7" s="1"/>
  <c r="U19" i="7"/>
  <c r="D19" i="7"/>
  <c r="U20" i="7"/>
  <c r="C24" i="2"/>
  <c r="A26" i="2"/>
  <c r="D26" i="2" s="1"/>
  <c r="B25" i="2"/>
  <c r="X24" i="2" l="1"/>
  <c r="H25" i="2"/>
  <c r="W24" i="2"/>
  <c r="V24" i="2"/>
  <c r="V27" i="2" s="1"/>
  <c r="X25" i="2"/>
  <c r="V28" i="2"/>
  <c r="U21" i="7"/>
  <c r="D20" i="7"/>
  <c r="C25" i="2"/>
  <c r="A27" i="2"/>
  <c r="D27" i="2" s="1"/>
  <c r="B26" i="2"/>
  <c r="H26" i="2" l="1"/>
  <c r="W25" i="2"/>
  <c r="W27" i="2" s="1"/>
  <c r="W28" i="2"/>
  <c r="C26" i="2"/>
  <c r="A28" i="2"/>
  <c r="D28" i="2" s="1"/>
  <c r="B27" i="2"/>
  <c r="X26" i="2" l="1"/>
  <c r="X27" i="2" s="1"/>
  <c r="X28" i="2"/>
  <c r="C27" i="2"/>
  <c r="A29" i="2"/>
  <c r="D29" i="2" s="1"/>
  <c r="B28" i="2"/>
  <c r="C28" i="2" s="1"/>
  <c r="A30" i="2" l="1"/>
  <c r="D30" i="2" s="1"/>
  <c r="B29" i="2"/>
  <c r="C29" i="2" l="1"/>
  <c r="A31" i="2"/>
  <c r="D31" i="2" s="1"/>
  <c r="B30" i="2"/>
  <c r="C30" i="2" s="1"/>
  <c r="A32" i="2" l="1"/>
  <c r="D32" i="2" s="1"/>
  <c r="B31" i="2"/>
  <c r="C31" i="2" l="1"/>
  <c r="A33" i="2"/>
  <c r="D33" i="2" s="1"/>
  <c r="B32" i="2"/>
  <c r="C32" i="2" l="1"/>
  <c r="A34" i="2"/>
  <c r="D34" i="2" s="1"/>
  <c r="B33" i="2"/>
  <c r="C33" i="2" l="1"/>
  <c r="A35" i="2"/>
  <c r="D35" i="2" s="1"/>
  <c r="B34" i="2"/>
  <c r="C34" i="2" l="1"/>
  <c r="A36" i="2"/>
  <c r="D36" i="2" s="1"/>
  <c r="B35" i="2"/>
  <c r="C35" i="2" l="1"/>
  <c r="A37" i="2"/>
  <c r="D37" i="2" s="1"/>
  <c r="B36" i="2"/>
  <c r="C36" i="2" l="1"/>
  <c r="A38" i="2"/>
  <c r="D38" i="2" s="1"/>
  <c r="B37" i="2"/>
  <c r="C37" i="2" l="1"/>
  <c r="A39" i="2"/>
  <c r="D39" i="2" s="1"/>
  <c r="B38" i="2"/>
  <c r="C38" i="2" s="1"/>
  <c r="A40" i="2" l="1"/>
  <c r="D40" i="2" s="1"/>
  <c r="B39" i="2"/>
  <c r="C39" i="2" l="1"/>
  <c r="A41" i="2"/>
  <c r="D41" i="2" s="1"/>
  <c r="B40" i="2"/>
  <c r="C40" i="2" l="1"/>
  <c r="A42" i="2"/>
  <c r="D42" i="2" s="1"/>
  <c r="B41" i="2"/>
  <c r="C41" i="2" l="1"/>
  <c r="A43" i="2"/>
  <c r="B42" i="2"/>
  <c r="C42" i="2" l="1"/>
  <c r="D43" i="2"/>
  <c r="D44" i="2" s="1"/>
  <c r="B43" i="2"/>
  <c r="J3" i="2" s="1"/>
  <c r="L3" i="2" s="1"/>
  <c r="C43" i="2" l="1"/>
  <c r="C44" i="2" s="1"/>
  <c r="N3" i="2" s="1"/>
</calcChain>
</file>

<file path=xl/sharedStrings.xml><?xml version="1.0" encoding="utf-8"?>
<sst xmlns="http://schemas.openxmlformats.org/spreadsheetml/2006/main" count="95" uniqueCount="78">
  <si>
    <t>THÔNG TIN ĐẦU VÀO</t>
  </si>
  <si>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</si>
  <si>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</si>
  <si>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</si>
  <si>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</si>
  <si>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</si>
  <si>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</si>
  <si>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</si>
  <si>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</si>
  <si>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</si>
  <si>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</si>
  <si>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</si>
  <si>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</si>
  <si>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BẢNG TÍNH TP THEO QUÃNG VÀ HỆ SỐ</t>
  </si>
  <si>
    <t>Hệ số nhân</t>
  </si>
  <si>
    <t>Quãng giá</t>
  </si>
  <si>
    <t>TP</t>
  </si>
  <si>
    <t>DCA</t>
  </si>
  <si>
    <t>Vol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</si>
  <si>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</si>
  <si>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</si>
  <si>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</si>
  <si>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</si>
  <si>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</si>
  <si>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</si>
  <si>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</si>
  <si>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</si>
  <si>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</si>
  <si>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</si>
  <si>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</si>
  <si>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</si>
  <si>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</si>
  <si>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</si>
  <si>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</si>
  <si>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</si>
  <si>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</si>
  <si>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</si>
  <si>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</si>
  <si>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</si>
  <si>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</si>
  <si>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</si>
  <si>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</si>
  <si>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</si>
  <si>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</si>
  <si>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</si>
  <si>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</si>
  <si>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</si>
  <si>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</si>
  <si>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</si>
  <si>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</si>
  <si>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</si>
  <si>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Total</t>
  </si>
  <si>
    <t>Tổng lot</t>
  </si>
  <si>
    <t>Ký quỹ</t>
  </si>
  <si>
    <t>Tổng vốn cần có</t>
  </si>
  <si>
    <t xml:space="preserve">Hệ số </t>
  </si>
  <si>
    <t>Giá</t>
  </si>
  <si>
    <t>Hệ số</t>
  </si>
  <si>
    <t>Điền hệ số nhân</t>
  </si>
  <si>
    <t>Điền quãng giá</t>
  </si>
  <si>
    <t>Điền TP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</si>
  <si>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</si>
  <si>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</si>
  <si>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</si>
  <si>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</si>
  <si>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</si>
  <si>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</si>
  <si>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</si>
  <si>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</si>
  <si>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</si>
  <si>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</si>
  <si>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</si>
  <si>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.</t>
  </si>
  <si>
    <r>
      <t xml:space="preserve">Khối lượng </t>
    </r>
    <r>
      <rPr>
        <sz val="13"/>
        <color rgb="FF002060"/>
        <rFont val="游ゴシック"/>
        <family val="2"/>
        <charset val="128"/>
      </rPr>
      <t>ban đ</t>
    </r>
    <r>
      <rPr>
        <sz val="13"/>
        <color rgb="FF002060"/>
        <rFont val="Arial"/>
        <family val="2"/>
        <charset val="163"/>
      </rPr>
      <t>ầ</t>
    </r>
    <r>
      <rPr>
        <sz val="13"/>
        <color rgb="FF002060"/>
        <rFont val="游ゴシック"/>
        <family val="2"/>
        <charset val="128"/>
      </rPr>
      <t>u</t>
    </r>
    <phoneticPr fontId="8"/>
  </si>
  <si>
    <r>
      <t>Số Lệ</t>
    </r>
    <r>
      <rPr>
        <sz val="13"/>
        <color rgb="FF002060"/>
        <rFont val="游ゴシック"/>
        <family val="2"/>
        <charset val="128"/>
      </rPr>
      <t>nh</t>
    </r>
    <r>
      <rPr>
        <sz val="13"/>
        <color rgb="FF002060"/>
        <rFont val="Arial"/>
        <family val="2"/>
      </rPr>
      <t xml:space="preserve"> đánh</t>
    </r>
    <phoneticPr fontId="8"/>
  </si>
  <si>
    <t>L</t>
    <phoneticPr fontId="8"/>
  </si>
  <si>
    <t>Price</t>
    <phoneticPr fontId="8"/>
  </si>
  <si>
    <t>Quãng giá dca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</si>
</sst>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(* #,##0.00_);_(* \(#,##0.00\);_(* &quot;-&quot;??_);_(@_)"/>
    <numFmt numFmtId="177" formatCode="_(* #,##0.0_);_(* \(#,##0.0\);_(* &quot;-&quot;??_);_(@_)"/>
    <numFmt numFmtId="178" formatCode="#,##0.0_);\(#,##0.0\)"/>
    <numFmt numFmtId="179" formatCode="_(* #,##0_);_(* \(#,##0\);_(* &quot;-&quot;??_);_(@_)"/>
    <numFmt numFmtId="180" formatCode="0;\-0;;\ @"/>
    <numFmt numFmtId="181" formatCode="0.00;\-0.00;;\ @"/>
    <numFmt numFmtId="182" formatCode="#,##0.000"/>
    <numFmt numFmtId="183" formatCode="#,##0.0"/>
  </numFmts>
  <fonts count="2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u/>
      <sz val="11"/>
      <color theme="1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sz val="13"/>
      <color rgb="FF002060"/>
      <name val="游ゴシック"/>
      <family val="2"/>
      <charset val="128"/>
    </font>
    <font>
      <sz val="13"/>
      <color rgb="FF002060"/>
      <name val="Arial"/>
      <family val="2"/>
      <charset val="163"/>
    </font>
    <font>
      <i/>
      <sz val="16"/>
      <color rgb="FFFF00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theme="6"/>
        <bgColor rgb="FFFFFF00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auto="1"/>
      </bottom>
      <diagonal/>
    </border>
    <border>
      <left/>
      <right style="thin">
        <color auto="1"/>
      </right>
      <top style="hair">
        <color indexed="64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auto="1"/>
      </bottom>
      <diagonal/>
    </border>
    <border>
      <left/>
      <right style="double">
        <color auto="1"/>
      </right>
      <top style="hair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6" fillId="10" borderId="28" applyNumberFormat="0" applyAlignment="0" applyProtection="0"/>
  </cellStyleXfs>
  <cellXfs count="103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27" xfId="2" applyNumberFormat="1" applyFont="1" applyBorder="1"/>
    <xf numFmtId="182" fontId="3" fillId="0" borderId="27" xfId="2" applyNumberFormat="1" applyFont="1" applyBorder="1"/>
    <xf numFmtId="0" fontId="9" fillId="0" borderId="0" xfId="2" applyFont="1"/>
    <xf numFmtId="180" fontId="10" fillId="3" borderId="0" xfId="1" applyNumberFormat="1" applyFont="1" applyFill="1"/>
    <xf numFmtId="181" fontId="10" fillId="3" borderId="0" xfId="1" applyNumberFormat="1" applyFont="1" applyFill="1"/>
    <xf numFmtId="181" fontId="10" fillId="0" borderId="20" xfId="1" applyNumberFormat="1" applyFont="1" applyBorder="1"/>
    <xf numFmtId="180" fontId="10" fillId="0" borderId="21" xfId="1" applyNumberFormat="1" applyFont="1" applyBorder="1"/>
    <xf numFmtId="181" fontId="10" fillId="0" borderId="9" xfId="1" applyNumberFormat="1" applyFont="1" applyBorder="1"/>
    <xf numFmtId="180" fontId="9" fillId="0" borderId="0" xfId="2" applyNumberFormat="1" applyFont="1"/>
    <xf numFmtId="181" fontId="9" fillId="0" borderId="0" xfId="2" applyNumberFormat="1" applyFont="1"/>
    <xf numFmtId="0" fontId="11" fillId="0" borderId="0" xfId="0" applyFont="1" applyAlignment="1">
      <alignment horizontal="center" vertical="center"/>
    </xf>
    <xf numFmtId="4" fontId="11" fillId="11" borderId="0" xfId="0" applyNumberFormat="1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4" fontId="11" fillId="16" borderId="27" xfId="0" applyNumberFormat="1" applyFont="1" applyFill="1" applyBorder="1" applyAlignment="1">
      <alignment horizontal="center" vertical="center"/>
    </xf>
    <xf numFmtId="0" fontId="11" fillId="16" borderId="27" xfId="0" applyFont="1" applyFill="1" applyBorder="1" applyAlignment="1">
      <alignment horizontal="center" vertical="center"/>
    </xf>
    <xf numFmtId="0" fontId="12" fillId="16" borderId="27" xfId="0" applyFont="1" applyFill="1" applyBorder="1" applyAlignment="1">
      <alignment horizontal="center" vertical="center"/>
    </xf>
    <xf numFmtId="4" fontId="11" fillId="14" borderId="27" xfId="0" applyNumberFormat="1" applyFont="1" applyFill="1" applyBorder="1" applyAlignment="1">
      <alignment horizontal="center" vertical="center"/>
    </xf>
    <xf numFmtId="0" fontId="11" fillId="14" borderId="27" xfId="0" applyFont="1" applyFill="1" applyBorder="1" applyAlignment="1">
      <alignment horizontal="center" vertical="center"/>
    </xf>
    <xf numFmtId="4" fontId="11" fillId="12" borderId="30" xfId="0" applyNumberFormat="1" applyFont="1" applyFill="1" applyBorder="1" applyAlignment="1">
      <alignment horizontal="center" vertical="center"/>
    </xf>
    <xf numFmtId="0" fontId="12" fillId="12" borderId="30" xfId="0" applyFont="1" applyFill="1" applyBorder="1" applyAlignment="1">
      <alignment horizontal="center" vertical="center"/>
    </xf>
    <xf numFmtId="183" fontId="11" fillId="0" borderId="27" xfId="0" applyNumberFormat="1" applyFont="1" applyBorder="1" applyAlignment="1">
      <alignment horizontal="center" vertical="center"/>
    </xf>
    <xf numFmtId="4" fontId="11" fillId="13" borderId="43" xfId="0" applyNumberFormat="1" applyFont="1" applyFill="1" applyBorder="1" applyAlignment="1">
      <alignment horizontal="center" vertical="center"/>
    </xf>
    <xf numFmtId="0" fontId="11" fillId="17" borderId="29" xfId="0" applyFont="1" applyFill="1" applyBorder="1" applyAlignment="1">
      <alignment horizontal="center" vertical="center"/>
    </xf>
    <xf numFmtId="0" fontId="11" fillId="15" borderId="27" xfId="0" applyFont="1" applyFill="1" applyBorder="1" applyAlignment="1">
      <alignment horizontal="center" vertical="center"/>
    </xf>
    <xf numFmtId="4" fontId="12" fillId="0" borderId="27" xfId="0" applyNumberFormat="1" applyFont="1" applyBorder="1" applyAlignment="1">
      <alignment horizontal="center" vertical="center"/>
    </xf>
    <xf numFmtId="4" fontId="11" fillId="0" borderId="27" xfId="0" applyNumberFormat="1" applyFont="1" applyBorder="1" applyAlignment="1">
      <alignment horizontal="center" vertical="center"/>
    </xf>
    <xf numFmtId="3" fontId="11" fillId="0" borderId="34" xfId="0" applyNumberFormat="1" applyFont="1" applyBorder="1" applyAlignment="1">
      <alignment horizontal="center" vertical="center"/>
    </xf>
    <xf numFmtId="3" fontId="11" fillId="0" borderId="35" xfId="0" applyNumberFormat="1" applyFont="1" applyBorder="1" applyAlignment="1">
      <alignment horizontal="center" vertical="center"/>
    </xf>
    <xf numFmtId="3" fontId="11" fillId="0" borderId="36" xfId="0" applyNumberFormat="1" applyFont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3" fontId="11" fillId="0" borderId="37" xfId="0" applyNumberFormat="1" applyFont="1" applyBorder="1" applyAlignment="1">
      <alignment horizontal="center" vertical="center"/>
    </xf>
    <xf numFmtId="3" fontId="11" fillId="0" borderId="38" xfId="0" applyNumberFormat="1" applyFont="1" applyBorder="1" applyAlignment="1">
      <alignment horizontal="center" vertical="center"/>
    </xf>
    <xf numFmtId="3" fontId="11" fillId="0" borderId="39" xfId="0" applyNumberFormat="1" applyFont="1" applyBorder="1" applyAlignment="1">
      <alignment horizontal="center" vertical="center"/>
    </xf>
    <xf numFmtId="3" fontId="11" fillId="0" borderId="40" xfId="0" applyNumberFormat="1" applyFont="1" applyBorder="1" applyAlignment="1">
      <alignment horizontal="center" vertical="center"/>
    </xf>
    <xf numFmtId="3" fontId="11" fillId="0" borderId="41" xfId="0" applyNumberFormat="1" applyFont="1" applyBorder="1" applyAlignment="1">
      <alignment horizontal="center" vertical="center"/>
    </xf>
    <xf numFmtId="3" fontId="11" fillId="0" borderId="42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4" fontId="12" fillId="17" borderId="43" xfId="0" applyNumberFormat="1" applyFont="1" applyFill="1" applyBorder="1" applyAlignment="1">
      <alignment horizontal="center" vertical="center"/>
    </xf>
    <xf numFmtId="3" fontId="11" fillId="0" borderId="31" xfId="0" applyNumberFormat="1" applyFont="1" applyBorder="1" applyAlignment="1">
      <alignment horizontal="center" vertical="center"/>
    </xf>
    <xf numFmtId="3" fontId="11" fillId="0" borderId="32" xfId="0" applyNumberFormat="1" applyFont="1" applyBorder="1" applyAlignment="1">
      <alignment horizontal="center" vertical="center"/>
    </xf>
    <xf numFmtId="0" fontId="11" fillId="0" borderId="0" xfId="2" applyFont="1"/>
    <xf numFmtId="180" fontId="13" fillId="2" borderId="16" xfId="1" applyNumberFormat="1" applyFont="1" applyFill="1" applyBorder="1" applyAlignment="1">
      <alignment horizontal="center" vertical="center"/>
    </xf>
    <xf numFmtId="181" fontId="13" fillId="2" borderId="17" xfId="1" applyNumberFormat="1" applyFont="1" applyFill="1" applyBorder="1" applyAlignment="1">
      <alignment horizontal="center" vertical="center"/>
    </xf>
    <xf numFmtId="180" fontId="13" fillId="2" borderId="18" xfId="1" applyNumberFormat="1" applyFont="1" applyFill="1" applyBorder="1" applyAlignment="1">
      <alignment horizontal="center" vertical="center"/>
    </xf>
    <xf numFmtId="180" fontId="10" fillId="0" borderId="19" xfId="1" applyNumberFormat="1" applyFont="1" applyBorder="1" applyAlignment="1">
      <alignment horizontal="center" vertical="center"/>
    </xf>
    <xf numFmtId="3" fontId="13" fillId="2" borderId="18" xfId="1" applyNumberFormat="1" applyFont="1" applyFill="1" applyBorder="1" applyAlignment="1">
      <alignment vertical="center"/>
    </xf>
    <xf numFmtId="180" fontId="13" fillId="2" borderId="18" xfId="1" applyNumberFormat="1" applyFont="1" applyFill="1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8" fillId="0" borderId="0" xfId="2" applyFont="1"/>
    <xf numFmtId="0" fontId="11" fillId="4" borderId="22" xfId="2" applyFont="1" applyFill="1" applyBorder="1" applyAlignment="1">
      <alignment horizontal="center"/>
    </xf>
    <xf numFmtId="0" fontId="11" fillId="4" borderId="24" xfId="2" applyFont="1" applyFill="1" applyBorder="1" applyAlignment="1">
      <alignment horizontal="center"/>
    </xf>
    <xf numFmtId="0" fontId="19" fillId="6" borderId="25" xfId="2" applyFont="1" applyFill="1" applyBorder="1" applyAlignment="1">
      <alignment horizontal="center" vertical="center"/>
    </xf>
    <xf numFmtId="0" fontId="11" fillId="4" borderId="23" xfId="2" applyFont="1" applyFill="1" applyBorder="1" applyAlignment="1">
      <alignment horizontal="center"/>
    </xf>
    <xf numFmtId="0" fontId="19" fillId="6" borderId="26" xfId="2" applyFont="1" applyFill="1" applyBorder="1" applyAlignment="1">
      <alignment horizontal="center" vertical="center"/>
    </xf>
    <xf numFmtId="0" fontId="20" fillId="4" borderId="27" xfId="2" applyFont="1" applyFill="1" applyBorder="1" applyAlignment="1">
      <alignment horizontal="center" vertical="center"/>
    </xf>
    <xf numFmtId="4" fontId="20" fillId="0" borderId="27" xfId="2" applyNumberFormat="1" applyFont="1" applyBorder="1" applyAlignment="1">
      <alignment horizontal="center"/>
    </xf>
    <xf numFmtId="3" fontId="20" fillId="0" borderId="27" xfId="2" applyNumberFormat="1" applyFont="1" applyBorder="1" applyAlignment="1">
      <alignment horizontal="right"/>
    </xf>
    <xf numFmtId="3" fontId="20" fillId="0" borderId="27" xfId="2" applyNumberFormat="1" applyFont="1" applyBorder="1"/>
    <xf numFmtId="0" fontId="20" fillId="18" borderId="27" xfId="2" applyFont="1" applyFill="1" applyBorder="1" applyAlignment="1">
      <alignment horizontal="center" vertical="center"/>
    </xf>
    <xf numFmtId="0" fontId="20" fillId="7" borderId="27" xfId="2" applyFont="1" applyFill="1" applyBorder="1" applyAlignment="1">
      <alignment horizontal="center"/>
    </xf>
    <xf numFmtId="4" fontId="20" fillId="6" borderId="27" xfId="2" applyNumberFormat="1" applyFont="1" applyFill="1" applyBorder="1" applyAlignment="1">
      <alignment horizontal="center"/>
    </xf>
    <xf numFmtId="0" fontId="20" fillId="0" borderId="27" xfId="2" applyFont="1" applyBorder="1" applyAlignment="1">
      <alignment horizontal="center"/>
    </xf>
    <xf numFmtId="4" fontId="3" fillId="0" borderId="27" xfId="2" applyNumberFormat="1" applyFont="1" applyBorder="1"/>
    <xf numFmtId="3" fontId="21" fillId="0" borderId="27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0" fontId="19" fillId="5" borderId="23" xfId="2" applyFont="1" applyFill="1" applyBorder="1" applyAlignment="1">
      <alignment horizontal="center" vertical="center"/>
    </xf>
    <xf numFmtId="4" fontId="3" fillId="0" borderId="0" xfId="2" applyNumberFormat="1" applyFont="1"/>
    <xf numFmtId="0" fontId="17" fillId="0" borderId="0" xfId="2" applyFont="1" applyAlignment="1">
      <alignment vertical="center"/>
    </xf>
    <xf numFmtId="0" fontId="25" fillId="0" borderId="0" xfId="2" applyFont="1" applyAlignment="1">
      <alignment vertical="center"/>
    </xf>
    <xf numFmtId="0" fontId="14" fillId="0" borderId="6" xfId="1" applyFont="1" applyBorder="1" applyAlignment="1">
      <alignment horizontal="left"/>
    </xf>
    <xf numFmtId="0" fontId="14" fillId="0" borderId="7" xfId="1" applyFont="1" applyBorder="1" applyAlignment="1">
      <alignment horizontal="left"/>
    </xf>
    <xf numFmtId="177" fontId="15" fillId="0" borderId="4" xfId="3" applyNumberFormat="1" applyFont="1" applyBorder="1" applyAlignment="1">
      <alignment horizontal="center" vertical="center"/>
    </xf>
    <xf numFmtId="177" fontId="15" fillId="0" borderId="5" xfId="3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0" fontId="14" fillId="0" borderId="2" xfId="1" applyFont="1" applyBorder="1" applyAlignment="1">
      <alignment horizontal="left"/>
    </xf>
    <xf numFmtId="0" fontId="14" fillId="0" borderId="3" xfId="1" applyFont="1" applyBorder="1" applyAlignment="1">
      <alignment horizontal="left"/>
    </xf>
    <xf numFmtId="177" fontId="15" fillId="19" borderId="4" xfId="3" applyNumberFormat="1" applyFont="1" applyFill="1" applyBorder="1" applyAlignment="1">
      <alignment horizontal="center" vertical="center"/>
    </xf>
    <xf numFmtId="177" fontId="15" fillId="19" borderId="5" xfId="3" applyNumberFormat="1" applyFont="1" applyFill="1" applyBorder="1" applyAlignment="1">
      <alignment horizontal="center" vertical="center"/>
    </xf>
    <xf numFmtId="4" fontId="13" fillId="2" borderId="16" xfId="1" applyNumberFormat="1" applyFont="1" applyFill="1" applyBorder="1" applyAlignment="1">
      <alignment horizontal="center" vertical="center"/>
    </xf>
    <xf numFmtId="4" fontId="13" fillId="2" borderId="17" xfId="1" applyNumberFormat="1" applyFont="1" applyFill="1" applyBorder="1" applyAlignment="1">
      <alignment horizontal="center" vertical="center"/>
    </xf>
    <xf numFmtId="0" fontId="14" fillId="0" borderId="8" xfId="1" applyFont="1" applyBorder="1" applyAlignment="1">
      <alignment horizontal="left"/>
    </xf>
    <xf numFmtId="0" fontId="14" fillId="0" borderId="9" xfId="1" applyFont="1" applyBorder="1" applyAlignment="1">
      <alignment horizontal="left"/>
    </xf>
    <xf numFmtId="176" fontId="15" fillId="0" borderId="9" xfId="3" applyFont="1" applyBorder="1" applyAlignment="1">
      <alignment horizontal="center" vertical="center"/>
    </xf>
    <xf numFmtId="176" fontId="15" fillId="0" borderId="10" xfId="3" applyFont="1" applyBorder="1" applyAlignment="1">
      <alignment horizontal="center" vertical="center"/>
    </xf>
    <xf numFmtId="178" fontId="15" fillId="0" borderId="11" xfId="3" applyNumberFormat="1" applyFont="1" applyBorder="1" applyAlignment="1">
      <alignment vertical="center"/>
    </xf>
    <xf numFmtId="178" fontId="15" fillId="0" borderId="12" xfId="3" applyNumberFormat="1" applyFont="1" applyBorder="1" applyAlignment="1">
      <alignment vertical="center"/>
    </xf>
    <xf numFmtId="0" fontId="14" fillId="0" borderId="13" xfId="1" applyFont="1" applyBorder="1" applyAlignment="1">
      <alignment horizontal="left"/>
    </xf>
    <xf numFmtId="0" fontId="14" fillId="0" borderId="14" xfId="1" applyFont="1" applyBorder="1" applyAlignment="1">
      <alignment horizontal="left"/>
    </xf>
    <xf numFmtId="179" fontId="15" fillId="19" borderId="14" xfId="3" applyNumberFormat="1" applyFont="1" applyFill="1" applyBorder="1" applyAlignment="1">
      <alignment horizontal="center" vertical="center"/>
    </xf>
    <xf numFmtId="179" fontId="15" fillId="19" borderId="15" xfId="3" applyNumberFormat="1" applyFont="1" applyFill="1" applyBorder="1" applyAlignment="1">
      <alignment horizontal="center" vertical="center"/>
    </xf>
    <xf numFmtId="4" fontId="26" fillId="8" borderId="27" xfId="4" applyNumberFormat="1" applyFont="1" applyBorder="1" applyAlignment="1">
      <alignment horizontal="center"/>
    </xf>
    <xf numFmtId="0" fontId="27" fillId="9" borderId="27" xfId="5" applyFont="1" applyBorder="1" applyAlignment="1">
      <alignment horizontal="center"/>
    </xf>
    <xf numFmtId="4" fontId="28" fillId="10" borderId="27" xfId="6" applyNumberFormat="1" applyFont="1" applyBorder="1" applyAlignment="1">
      <alignment horizontal="center"/>
    </xf>
    <xf numFmtId="0" fontId="22" fillId="0" borderId="27" xfId="1" applyFont="1" applyBorder="1" applyAlignment="1">
      <alignment horizontal="center"/>
    </xf>
    <xf numFmtId="3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1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"/>
  <sheetViews>
    <sheetView tabSelected="1" zoomScale="85" zoomScaleNormal="85" workbookViewId="0">
      <selection activeCell="R4" sqref="R4"/>
    </sheetView>
  </sheetViews>
  <sheetFormatPr defaultColWidth="9.09765625" defaultRowHeight="13.2" x14ac:dyDescent="0.25"/>
  <cols>
    <col min="1" max="1" width="14.69921875" style="11" customWidth="1"/>
    <col min="2" max="2" width="14.69921875" style="12" customWidth="1"/>
    <col min="3" max="4" width="14.69921875" style="11" customWidth="1"/>
    <col min="5" max="6" width="9.09765625" style="5"/>
    <col min="7" max="7" width="19" style="5" customWidth="1"/>
    <col min="8" max="24" width="10.59765625" style="5" customWidth="1"/>
    <col min="25" max="26" width="9.09765625" style="5"/>
    <col min="27" max="27" width="14.59765625" style="5" bestFit="1" customWidth="1"/>
    <col min="28" max="28" width="13.296875" style="5" bestFit="1" customWidth="1"/>
    <col min="29" max="29" width="28.8984375" style="5" bestFit="1" customWidth="1"/>
    <col min="30" max="16384" width="9.09765625" style="5"/>
  </cols>
  <sheetData>
    <row r="1" spans="1:24" ht="17.399999999999999" thickBot="1" x14ac:dyDescent="0.3">
      <c r="A1" s="76" t="s">
        <v>0</v>
      </c>
      <c r="B1" s="77"/>
      <c r="C1" s="77"/>
      <c r="D1" s="77"/>
    </row>
    <row r="2" spans="1:24" ht="26.4" thickTop="1" thickBot="1" x14ac:dyDescent="0.45">
      <c r="A2" s="78" t="s">
        <v>1</v>
      </c>
      <c r="B2" s="79"/>
      <c r="C2" s="80">
        <v>3</v>
      </c>
      <c r="D2" s="81"/>
      <c r="H2" s="70"/>
      <c r="I2" s="70"/>
      <c r="J2" s="97" t="s">
        <v>52</v>
      </c>
      <c r="K2" s="97"/>
      <c r="L2" s="97" t="s">
        <v>53</v>
      </c>
      <c r="M2" s="97"/>
      <c r="N2" s="97" t="s">
        <v>54</v>
      </c>
      <c r="O2" s="97"/>
      <c r="P2" s="97"/>
      <c r="Q2" s="70"/>
      <c r="R2" s="70"/>
      <c r="S2" s="70"/>
      <c r="T2" s="70"/>
      <c r="U2" s="70"/>
      <c r="V2" s="70"/>
      <c r="W2" s="70"/>
      <c r="X2" s="70"/>
    </row>
    <row r="3" spans="1:24" ht="18" thickTop="1" thickBot="1" x14ac:dyDescent="0.35">
      <c r="A3" s="72" t="s">
        <v>2</v>
      </c>
      <c r="B3" s="73"/>
      <c r="C3" s="74">
        <f>C2</f>
        <v>3</v>
      </c>
      <c r="D3" s="75"/>
      <c r="G3" s="51"/>
      <c r="H3" s="43"/>
      <c r="I3" s="43"/>
      <c r="J3" s="94">
        <f>SUM('Bảng Input L30'!B13:B43)</f>
        <v>35.683784674299567</v>
      </c>
      <c r="K3" s="94"/>
      <c r="L3" s="95">
        <f>J3*91</f>
        <v>3247.2244053612608</v>
      </c>
      <c r="M3" s="95"/>
      <c r="N3" s="96">
        <f>L3+'Bảng Input L30'!C44</f>
        <v>20491.780072496964</v>
      </c>
      <c r="O3" s="96"/>
      <c r="P3" s="96"/>
      <c r="Q3" s="43"/>
      <c r="R3" s="43"/>
      <c r="S3" s="43"/>
      <c r="T3" s="43"/>
      <c r="U3" s="43"/>
      <c r="V3" s="43"/>
      <c r="W3" s="43"/>
      <c r="X3" s="43"/>
    </row>
    <row r="4" spans="1:24" ht="19.8" thickTop="1" thickBot="1" x14ac:dyDescent="0.35">
      <c r="A4" s="72" t="s">
        <v>3</v>
      </c>
      <c r="B4" s="73"/>
      <c r="C4" s="74">
        <f>C3</f>
        <v>3</v>
      </c>
      <c r="D4" s="75"/>
      <c r="G4" s="52" t="s">
        <v>14</v>
      </c>
      <c r="H4" s="68">
        <v>1.6180000000000001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9.8" thickTop="1" thickBot="1" x14ac:dyDescent="0.35">
      <c r="A5" s="72" t="s">
        <v>4</v>
      </c>
      <c r="B5" s="73"/>
      <c r="C5" s="74">
        <f>C4</f>
        <v>3</v>
      </c>
      <c r="D5" s="75"/>
      <c r="G5" s="53" t="s">
        <v>77</v>
      </c>
      <c r="H5" s="54">
        <v>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21.6" thickTop="1" thickBot="1" x14ac:dyDescent="0.35">
      <c r="A6" s="72" t="s">
        <v>5</v>
      </c>
      <c r="B6" s="73"/>
      <c r="C6" s="74">
        <f>C5</f>
        <v>3</v>
      </c>
      <c r="D6" s="75"/>
      <c r="G6" s="55" t="s">
        <v>16</v>
      </c>
      <c r="H6" s="56">
        <v>6</v>
      </c>
      <c r="J6" s="71" t="s">
        <v>13</v>
      </c>
    </row>
    <row r="7" spans="1:24" ht="17.399999999999999" thickTop="1" x14ac:dyDescent="0.3">
      <c r="A7" s="72" t="s">
        <v>6</v>
      </c>
      <c r="B7" s="73"/>
      <c r="C7" s="74">
        <f>C6</f>
        <v>3</v>
      </c>
      <c r="D7" s="75"/>
      <c r="G7" s="1"/>
      <c r="H7" s="1"/>
      <c r="I7" s="67">
        <v>2200</v>
      </c>
      <c r="J7" s="67">
        <f>I7-H$5</f>
        <v>2197</v>
      </c>
      <c r="K7" s="67">
        <f t="shared" ref="K7:X7" si="0">J7-$H$5</f>
        <v>2194</v>
      </c>
      <c r="L7" s="67">
        <f t="shared" si="0"/>
        <v>2191</v>
      </c>
      <c r="M7" s="67">
        <f t="shared" si="0"/>
        <v>2188</v>
      </c>
      <c r="N7" s="67">
        <f t="shared" si="0"/>
        <v>2185</v>
      </c>
      <c r="O7" s="67">
        <f t="shared" si="0"/>
        <v>2182</v>
      </c>
      <c r="P7" s="67">
        <f t="shared" si="0"/>
        <v>2179</v>
      </c>
      <c r="Q7" s="67">
        <f t="shared" si="0"/>
        <v>2176</v>
      </c>
      <c r="R7" s="67">
        <f t="shared" si="0"/>
        <v>2173</v>
      </c>
      <c r="S7" s="67">
        <f t="shared" si="0"/>
        <v>2170</v>
      </c>
      <c r="T7" s="67">
        <f t="shared" si="0"/>
        <v>2167</v>
      </c>
      <c r="U7" s="67">
        <f t="shared" si="0"/>
        <v>2164</v>
      </c>
      <c r="V7" s="67">
        <f t="shared" si="0"/>
        <v>2161</v>
      </c>
      <c r="W7" s="67">
        <f t="shared" si="0"/>
        <v>2158</v>
      </c>
      <c r="X7" s="67">
        <f t="shared" si="0"/>
        <v>2155</v>
      </c>
    </row>
    <row r="8" spans="1:24" ht="21.6" x14ac:dyDescent="0.55000000000000004">
      <c r="A8" s="84" t="s">
        <v>73</v>
      </c>
      <c r="B8" s="85"/>
      <c r="C8" s="86">
        <v>0.01</v>
      </c>
      <c r="D8" s="87"/>
      <c r="G8" s="1"/>
      <c r="H8" s="1"/>
      <c r="I8" s="67">
        <v>0</v>
      </c>
      <c r="J8" s="67">
        <f t="shared" ref="J8:X8" si="1">$I$7-J7</f>
        <v>3</v>
      </c>
      <c r="K8" s="67">
        <f t="shared" si="1"/>
        <v>6</v>
      </c>
      <c r="L8" s="67">
        <f t="shared" si="1"/>
        <v>9</v>
      </c>
      <c r="M8" s="67">
        <f t="shared" si="1"/>
        <v>12</v>
      </c>
      <c r="N8" s="67">
        <f t="shared" si="1"/>
        <v>15</v>
      </c>
      <c r="O8" s="67">
        <f t="shared" si="1"/>
        <v>18</v>
      </c>
      <c r="P8" s="67">
        <f t="shared" si="1"/>
        <v>21</v>
      </c>
      <c r="Q8" s="67">
        <f t="shared" si="1"/>
        <v>24</v>
      </c>
      <c r="R8" s="67">
        <f t="shared" si="1"/>
        <v>27</v>
      </c>
      <c r="S8" s="67">
        <f t="shared" si="1"/>
        <v>30</v>
      </c>
      <c r="T8" s="67">
        <f t="shared" si="1"/>
        <v>33</v>
      </c>
      <c r="U8" s="67">
        <f t="shared" si="1"/>
        <v>36</v>
      </c>
      <c r="V8" s="67">
        <f t="shared" si="1"/>
        <v>39</v>
      </c>
      <c r="W8" s="67">
        <f t="shared" si="1"/>
        <v>42</v>
      </c>
      <c r="X8" s="67">
        <f t="shared" si="1"/>
        <v>45</v>
      </c>
    </row>
    <row r="9" spans="1:24" ht="16.8" x14ac:dyDescent="0.3">
      <c r="A9" s="84" t="s">
        <v>7</v>
      </c>
      <c r="B9" s="85"/>
      <c r="C9" s="88">
        <v>1.6180000000000001</v>
      </c>
      <c r="D9" s="89"/>
      <c r="G9" s="57" t="s">
        <v>17</v>
      </c>
      <c r="H9" s="57" t="s">
        <v>76</v>
      </c>
      <c r="I9" s="57" t="s">
        <v>19</v>
      </c>
      <c r="J9" s="57" t="s">
        <v>20</v>
      </c>
      <c r="K9" s="57" t="s">
        <v>21</v>
      </c>
      <c r="L9" s="57" t="s">
        <v>22</v>
      </c>
      <c r="M9" s="57" t="s">
        <v>23</v>
      </c>
      <c r="N9" s="57" t="s">
        <v>24</v>
      </c>
      <c r="O9" s="57" t="s">
        <v>25</v>
      </c>
      <c r="P9" s="57" t="s">
        <v>26</v>
      </c>
      <c r="Q9" s="57" t="s">
        <v>27</v>
      </c>
      <c r="R9" s="57" t="s">
        <v>28</v>
      </c>
      <c r="S9" s="57" t="s">
        <v>29</v>
      </c>
      <c r="T9" s="57" t="s">
        <v>30</v>
      </c>
      <c r="U9" s="57" t="s">
        <v>31</v>
      </c>
      <c r="V9" s="57" t="s">
        <v>32</v>
      </c>
      <c r="W9" s="57" t="s">
        <v>33</v>
      </c>
      <c r="X9" s="57" t="s">
        <v>34</v>
      </c>
    </row>
    <row r="10" spans="1:24" ht="22.2" thickBot="1" x14ac:dyDescent="0.6">
      <c r="A10" s="90" t="s">
        <v>74</v>
      </c>
      <c r="B10" s="91"/>
      <c r="C10" s="92">
        <v>16</v>
      </c>
      <c r="D10" s="93"/>
      <c r="G10" s="61" t="s">
        <v>75</v>
      </c>
      <c r="H10" s="57" t="s">
        <v>18</v>
      </c>
      <c r="I10" s="57">
        <v>1</v>
      </c>
      <c r="J10" s="57">
        <v>2</v>
      </c>
      <c r="K10" s="57">
        <v>3</v>
      </c>
      <c r="L10" s="57">
        <v>4</v>
      </c>
      <c r="M10" s="57">
        <v>5</v>
      </c>
      <c r="N10" s="57">
        <v>6</v>
      </c>
      <c r="O10" s="57">
        <v>7</v>
      </c>
      <c r="P10" s="57">
        <v>8</v>
      </c>
      <c r="Q10" s="57">
        <v>9</v>
      </c>
      <c r="R10" s="57">
        <v>10</v>
      </c>
      <c r="S10" s="57">
        <v>11</v>
      </c>
      <c r="T10" s="57">
        <v>12</v>
      </c>
      <c r="U10" s="57">
        <v>13</v>
      </c>
      <c r="V10" s="57">
        <v>14</v>
      </c>
      <c r="W10" s="57">
        <v>15</v>
      </c>
      <c r="X10" s="57">
        <v>16</v>
      </c>
    </row>
    <row r="11" spans="1:24" ht="18" thickTop="1" thickBot="1" x14ac:dyDescent="0.35">
      <c r="A11" s="6"/>
      <c r="B11" s="7"/>
      <c r="C11" s="6"/>
      <c r="D11" s="6"/>
      <c r="G11" s="62">
        <v>1</v>
      </c>
      <c r="H11" s="63">
        <f>'Bảng Input L30'!B13</f>
        <v>0.01</v>
      </c>
      <c r="I11" s="59">
        <f>H11*H6*100</f>
        <v>6</v>
      </c>
      <c r="J11" s="59">
        <f>H11*100*(H6-H5)</f>
        <v>3</v>
      </c>
      <c r="K11" s="59">
        <f t="shared" ref="K11:X11" si="2">$H$11*100*($H$6-$H$5*J10)</f>
        <v>0</v>
      </c>
      <c r="L11" s="59">
        <f t="shared" si="2"/>
        <v>-3</v>
      </c>
      <c r="M11" s="59">
        <f t="shared" si="2"/>
        <v>-6</v>
      </c>
      <c r="N11" s="59">
        <f t="shared" si="2"/>
        <v>-9</v>
      </c>
      <c r="O11" s="59">
        <f t="shared" si="2"/>
        <v>-12</v>
      </c>
      <c r="P11" s="59">
        <f t="shared" si="2"/>
        <v>-15</v>
      </c>
      <c r="Q11" s="59">
        <f t="shared" si="2"/>
        <v>-18</v>
      </c>
      <c r="R11" s="59">
        <f t="shared" si="2"/>
        <v>-21</v>
      </c>
      <c r="S11" s="59">
        <f t="shared" si="2"/>
        <v>-24</v>
      </c>
      <c r="T11" s="59">
        <f t="shared" si="2"/>
        <v>-27</v>
      </c>
      <c r="U11" s="59">
        <f t="shared" si="2"/>
        <v>-30</v>
      </c>
      <c r="V11" s="59">
        <f t="shared" si="2"/>
        <v>-33</v>
      </c>
      <c r="W11" s="59">
        <f t="shared" si="2"/>
        <v>-36</v>
      </c>
      <c r="X11" s="59">
        <f t="shared" si="2"/>
        <v>-39</v>
      </c>
    </row>
    <row r="12" spans="1:24" ht="18" thickTop="1" thickBot="1" x14ac:dyDescent="0.3">
      <c r="A12" s="44" t="s">
        <v>8</v>
      </c>
      <c r="B12" s="45" t="s">
        <v>9</v>
      </c>
      <c r="C12" s="46" t="s">
        <v>10</v>
      </c>
      <c r="D12" s="46" t="s">
        <v>11</v>
      </c>
      <c r="G12" s="62">
        <v>2</v>
      </c>
      <c r="H12" s="58">
        <f t="shared" ref="H12:H26" si="3">H11*$H$4</f>
        <v>1.618E-2</v>
      </c>
      <c r="I12" s="3"/>
      <c r="J12" s="59">
        <f>H12*100*H6</f>
        <v>9.7079999999999984</v>
      </c>
      <c r="K12" s="59">
        <f>H12*100*(H6-H5)</f>
        <v>4.8539999999999992</v>
      </c>
      <c r="L12" s="59">
        <f t="shared" ref="L12:X12" si="4">$H$12*100*($H$6-$H$5*J10)</f>
        <v>0</v>
      </c>
      <c r="M12" s="59">
        <f t="shared" si="4"/>
        <v>-4.8539999999999992</v>
      </c>
      <c r="N12" s="59">
        <f t="shared" si="4"/>
        <v>-9.7079999999999984</v>
      </c>
      <c r="O12" s="59">
        <f t="shared" si="4"/>
        <v>-14.561999999999999</v>
      </c>
      <c r="P12" s="59">
        <f t="shared" si="4"/>
        <v>-19.415999999999997</v>
      </c>
      <c r="Q12" s="59">
        <f t="shared" si="4"/>
        <v>-24.27</v>
      </c>
      <c r="R12" s="59">
        <f t="shared" si="4"/>
        <v>-29.123999999999999</v>
      </c>
      <c r="S12" s="59">
        <f t="shared" si="4"/>
        <v>-33.977999999999994</v>
      </c>
      <c r="T12" s="59">
        <f t="shared" si="4"/>
        <v>-38.831999999999994</v>
      </c>
      <c r="U12" s="59">
        <f t="shared" si="4"/>
        <v>-43.686</v>
      </c>
      <c r="V12" s="59">
        <f t="shared" si="4"/>
        <v>-48.54</v>
      </c>
      <c r="W12" s="59">
        <f t="shared" si="4"/>
        <v>-53.393999999999998</v>
      </c>
      <c r="X12" s="59">
        <f t="shared" si="4"/>
        <v>-58.247999999999998</v>
      </c>
    </row>
    <row r="13" spans="1:24" ht="17.399999999999999" thickTop="1" x14ac:dyDescent="0.3">
      <c r="A13" s="47" t="str">
        <f>IF($C$10&gt;0,"L1",0)</f>
        <v>L1</v>
      </c>
      <c r="B13" s="8">
        <f>+C8</f>
        <v>0.01</v>
      </c>
      <c r="C13" s="9">
        <f>+B13*D13*100</f>
        <v>45</v>
      </c>
      <c r="D13" s="9">
        <f>IF(A13=0,0,$C$2+$C$3+$C$4+$C$5+$C$6+($C$7*($C$10-6)))</f>
        <v>45</v>
      </c>
      <c r="G13" s="62">
        <v>3</v>
      </c>
      <c r="H13" s="58">
        <f t="shared" si="3"/>
        <v>2.6179240000000003E-2</v>
      </c>
      <c r="I13" s="3"/>
      <c r="J13" s="3"/>
      <c r="K13" s="59">
        <f>H13*100*H6</f>
        <v>15.707544000000002</v>
      </c>
      <c r="L13" s="59">
        <f>H13*100*(H6-H5)</f>
        <v>7.8537720000000011</v>
      </c>
      <c r="M13" s="59">
        <f t="shared" ref="M13:X13" si="5">$H$13*100*($H$6-$H$5*J10)</f>
        <v>0</v>
      </c>
      <c r="N13" s="59">
        <f t="shared" si="5"/>
        <v>-7.8537720000000011</v>
      </c>
      <c r="O13" s="59">
        <f t="shared" si="5"/>
        <v>-15.707544000000002</v>
      </c>
      <c r="P13" s="59">
        <f t="shared" si="5"/>
        <v>-23.561316000000005</v>
      </c>
      <c r="Q13" s="59">
        <f t="shared" si="5"/>
        <v>-31.415088000000004</v>
      </c>
      <c r="R13" s="59">
        <f t="shared" si="5"/>
        <v>-39.268860000000004</v>
      </c>
      <c r="S13" s="59">
        <f t="shared" si="5"/>
        <v>-47.12263200000001</v>
      </c>
      <c r="T13" s="59">
        <f t="shared" si="5"/>
        <v>-54.976404000000009</v>
      </c>
      <c r="U13" s="59">
        <f t="shared" si="5"/>
        <v>-62.830176000000009</v>
      </c>
      <c r="V13" s="59">
        <f t="shared" si="5"/>
        <v>-70.683948000000015</v>
      </c>
      <c r="W13" s="59">
        <f t="shared" si="5"/>
        <v>-78.537720000000007</v>
      </c>
      <c r="X13" s="59">
        <f t="shared" si="5"/>
        <v>-86.391492000000014</v>
      </c>
    </row>
    <row r="14" spans="1:24" ht="16.8" x14ac:dyDescent="0.3">
      <c r="A14" s="47" t="str">
        <f>IF(A13=0,0,IF(VALUE(MID(A13,2,2))&gt;=$C$10,0,"L"&amp;VALUE(MID(A13,2,2))+1))</f>
        <v>L2</v>
      </c>
      <c r="B14" s="10">
        <f>IF(A14&lt;&gt;0,B13*$C$9,0)</f>
        <v>1.618E-2</v>
      </c>
      <c r="C14" s="9">
        <f t="shared" ref="C14:C43" si="6">+B14*D14*100</f>
        <v>67.955999999999989</v>
      </c>
      <c r="D14" s="9">
        <f>IF(A14=0,0,$C$3+$C$4+$C$5+$C$6+($C$7*($C$10-6)))</f>
        <v>42</v>
      </c>
      <c r="G14" s="62">
        <v>4</v>
      </c>
      <c r="H14" s="58">
        <f t="shared" si="3"/>
        <v>4.2358010320000007E-2</v>
      </c>
      <c r="I14" s="3"/>
      <c r="J14" s="3"/>
      <c r="K14" s="3"/>
      <c r="L14" s="59">
        <f>H14*100*H6</f>
        <v>25.414806192</v>
      </c>
      <c r="M14" s="59">
        <f>H14*100*(H6-H5)</f>
        <v>12.707403096</v>
      </c>
      <c r="N14" s="59">
        <f t="shared" ref="N14:X14" si="7">$H$14*100*($H$6-$H$5*J10)</f>
        <v>0</v>
      </c>
      <c r="O14" s="59">
        <f t="shared" si="7"/>
        <v>-12.707403096</v>
      </c>
      <c r="P14" s="59">
        <f t="shared" si="7"/>
        <v>-25.414806192</v>
      </c>
      <c r="Q14" s="59">
        <f t="shared" si="7"/>
        <v>-38.122209288000001</v>
      </c>
      <c r="R14" s="59">
        <f t="shared" si="7"/>
        <v>-50.829612384000001</v>
      </c>
      <c r="S14" s="59">
        <f t="shared" si="7"/>
        <v>-63.537015480000008</v>
      </c>
      <c r="T14" s="59">
        <f t="shared" si="7"/>
        <v>-76.244418576000001</v>
      </c>
      <c r="U14" s="59">
        <f t="shared" si="7"/>
        <v>-88.951821672000008</v>
      </c>
      <c r="V14" s="59">
        <f t="shared" si="7"/>
        <v>-101.659224768</v>
      </c>
      <c r="W14" s="59">
        <f t="shared" si="7"/>
        <v>-114.36662786400001</v>
      </c>
      <c r="X14" s="59">
        <f t="shared" si="7"/>
        <v>-127.07403096000002</v>
      </c>
    </row>
    <row r="15" spans="1:24" ht="16.8" x14ac:dyDescent="0.3">
      <c r="A15" s="47" t="str">
        <f t="shared" ref="A15:A43" si="8">IF(A14=0,0,IF(VALUE(MID(A14,2,2))&gt;=$C$10,0,"L"&amp;VALUE(MID(A14,2,2))+1))</f>
        <v>L3</v>
      </c>
      <c r="B15" s="10">
        <f t="shared" ref="B15:B43" si="9">IF(A15&lt;&gt;0,B14*$C$9,0)</f>
        <v>2.6179240000000003E-2</v>
      </c>
      <c r="C15" s="9">
        <f t="shared" si="6"/>
        <v>102.09903600000001</v>
      </c>
      <c r="D15" s="9">
        <f>IF(A15=0,0,$C$4+$C$5+$C$6+($C$7*($C$10-6)))</f>
        <v>39</v>
      </c>
      <c r="G15" s="62">
        <v>5</v>
      </c>
      <c r="H15" s="58">
        <f t="shared" si="3"/>
        <v>6.8535260697760017E-2</v>
      </c>
      <c r="I15" s="4"/>
      <c r="J15" s="3"/>
      <c r="K15" s="3"/>
      <c r="L15" s="3"/>
      <c r="M15" s="59">
        <f>H15*H6*100</f>
        <v>41.121156418656014</v>
      </c>
      <c r="N15" s="59">
        <f>H15*100*(H6-H5)</f>
        <v>20.560578209328003</v>
      </c>
      <c r="O15" s="59">
        <f t="shared" ref="O15:X15" si="10">$H$15*100*($H$6-$H$5*J10)</f>
        <v>0</v>
      </c>
      <c r="P15" s="59">
        <f t="shared" si="10"/>
        <v>-20.560578209328003</v>
      </c>
      <c r="Q15" s="59">
        <f t="shared" si="10"/>
        <v>-41.121156418656007</v>
      </c>
      <c r="R15" s="59">
        <f t="shared" si="10"/>
        <v>-61.681734627984014</v>
      </c>
      <c r="S15" s="59">
        <f t="shared" si="10"/>
        <v>-82.242312837312014</v>
      </c>
      <c r="T15" s="59">
        <f t="shared" si="10"/>
        <v>-102.80289104664003</v>
      </c>
      <c r="U15" s="59">
        <f t="shared" si="10"/>
        <v>-123.36346925596803</v>
      </c>
      <c r="V15" s="59">
        <f t="shared" si="10"/>
        <v>-143.92404746529604</v>
      </c>
      <c r="W15" s="59">
        <f t="shared" si="10"/>
        <v>-164.48462567462403</v>
      </c>
      <c r="X15" s="59">
        <f t="shared" si="10"/>
        <v>-185.04520388395204</v>
      </c>
    </row>
    <row r="16" spans="1:24" ht="16.8" x14ac:dyDescent="0.3">
      <c r="A16" s="47" t="str">
        <f t="shared" si="8"/>
        <v>L4</v>
      </c>
      <c r="B16" s="10">
        <f t="shared" si="9"/>
        <v>4.2358010320000007E-2</v>
      </c>
      <c r="C16" s="9">
        <f t="shared" si="6"/>
        <v>152.48883715200003</v>
      </c>
      <c r="D16" s="9">
        <f>IF(A16=0,0,$C$5+$C$6+($C$7*($C$10-6)))</f>
        <v>36</v>
      </c>
      <c r="G16" s="62">
        <v>6</v>
      </c>
      <c r="H16" s="58">
        <f t="shared" si="3"/>
        <v>0.11089005180897571</v>
      </c>
      <c r="I16" s="3"/>
      <c r="J16" s="3"/>
      <c r="K16" s="3"/>
      <c r="L16" s="3"/>
      <c r="M16" s="3"/>
      <c r="N16" s="59">
        <f>H16*H6*100</f>
        <v>66.534031085385422</v>
      </c>
      <c r="O16" s="59">
        <f>H16*100*(H6-H5)</f>
        <v>33.267015542692711</v>
      </c>
      <c r="P16" s="59">
        <f t="shared" ref="P16:X16" si="11">$H$16*100*($H$6-$H$5*J10)</f>
        <v>0</v>
      </c>
      <c r="Q16" s="59">
        <f t="shared" si="11"/>
        <v>-33.267015542692711</v>
      </c>
      <c r="R16" s="59">
        <f t="shared" si="11"/>
        <v>-66.534031085385422</v>
      </c>
      <c r="S16" s="59">
        <f t="shared" si="11"/>
        <v>-99.80104662807814</v>
      </c>
      <c r="T16" s="59">
        <f t="shared" si="11"/>
        <v>-133.06806217077084</v>
      </c>
      <c r="U16" s="59">
        <f t="shared" si="11"/>
        <v>-166.33507771346356</v>
      </c>
      <c r="V16" s="59">
        <f t="shared" si="11"/>
        <v>-199.60209325615628</v>
      </c>
      <c r="W16" s="59">
        <f t="shared" si="11"/>
        <v>-232.869108798849</v>
      </c>
      <c r="X16" s="59">
        <f t="shared" si="11"/>
        <v>-266.13612434154169</v>
      </c>
    </row>
    <row r="17" spans="1:24" ht="16.8" x14ac:dyDescent="0.3">
      <c r="A17" s="47" t="str">
        <f t="shared" si="8"/>
        <v>L5</v>
      </c>
      <c r="B17" s="10">
        <f t="shared" si="9"/>
        <v>6.8535260697760017E-2</v>
      </c>
      <c r="C17" s="9">
        <f t="shared" si="6"/>
        <v>226.16636030260807</v>
      </c>
      <c r="D17" s="9">
        <f>IF(A17=0,0,$C$6+($C$7*($C$10-6)))</f>
        <v>33</v>
      </c>
      <c r="G17" s="62">
        <v>7</v>
      </c>
      <c r="H17" s="58">
        <f t="shared" si="3"/>
        <v>0.17942010382692272</v>
      </c>
      <c r="I17" s="3"/>
      <c r="J17" s="3"/>
      <c r="K17" s="3"/>
      <c r="L17" s="3"/>
      <c r="M17" s="3"/>
      <c r="N17" s="3"/>
      <c r="O17" s="59">
        <f>H6*H17*100</f>
        <v>107.65206229615363</v>
      </c>
      <c r="P17" s="59">
        <f>H17*100*(H6-H5)</f>
        <v>53.826031148076808</v>
      </c>
      <c r="Q17" s="59">
        <f t="shared" ref="Q17:X17" si="12">$H$17*100*($H$6-$H$5*J10)</f>
        <v>0</v>
      </c>
      <c r="R17" s="59">
        <f t="shared" si="12"/>
        <v>-53.826031148076808</v>
      </c>
      <c r="S17" s="59">
        <f t="shared" si="12"/>
        <v>-107.65206229615362</v>
      </c>
      <c r="T17" s="59">
        <f t="shared" si="12"/>
        <v>-161.47809344423044</v>
      </c>
      <c r="U17" s="59">
        <f t="shared" si="12"/>
        <v>-215.30412459230723</v>
      </c>
      <c r="V17" s="59">
        <f t="shared" si="12"/>
        <v>-269.13015574038405</v>
      </c>
      <c r="W17" s="59">
        <f t="shared" si="12"/>
        <v>-322.95618688846088</v>
      </c>
      <c r="X17" s="59">
        <f t="shared" si="12"/>
        <v>-376.7822180365377</v>
      </c>
    </row>
    <row r="18" spans="1:24" ht="16.8" x14ac:dyDescent="0.3">
      <c r="A18" s="47" t="str">
        <f t="shared" si="8"/>
        <v>L6</v>
      </c>
      <c r="B18" s="10">
        <f t="shared" si="9"/>
        <v>0.11089005180897571</v>
      </c>
      <c r="C18" s="9">
        <f t="shared" si="6"/>
        <v>332.67015542692712</v>
      </c>
      <c r="D18" s="9">
        <f>IF(A18=0,0,($C$7*($C$10-6)))</f>
        <v>30</v>
      </c>
      <c r="G18" s="62">
        <v>8</v>
      </c>
      <c r="H18" s="58">
        <f t="shared" si="3"/>
        <v>0.29030172799196097</v>
      </c>
      <c r="I18" s="3"/>
      <c r="J18" s="3"/>
      <c r="K18" s="3"/>
      <c r="L18" s="3"/>
      <c r="M18" s="3"/>
      <c r="N18" s="3"/>
      <c r="O18" s="3"/>
      <c r="P18" s="59">
        <f>H6*H18*100</f>
        <v>174.18103679517657</v>
      </c>
      <c r="Q18" s="59">
        <f>H18*100*(H6-H5)</f>
        <v>87.090518397588298</v>
      </c>
      <c r="R18" s="59">
        <f t="shared" ref="R18:X18" si="13">$H$18*100*($H$6-$H$5*J10)</f>
        <v>0</v>
      </c>
      <c r="S18" s="59">
        <f t="shared" si="13"/>
        <v>-87.090518397588298</v>
      </c>
      <c r="T18" s="59">
        <f t="shared" si="13"/>
        <v>-174.1810367951766</v>
      </c>
      <c r="U18" s="59">
        <f t="shared" si="13"/>
        <v>-261.27155519276488</v>
      </c>
      <c r="V18" s="59">
        <f t="shared" si="13"/>
        <v>-348.36207359035319</v>
      </c>
      <c r="W18" s="59">
        <f t="shared" si="13"/>
        <v>-435.45259198794145</v>
      </c>
      <c r="X18" s="59">
        <f t="shared" si="13"/>
        <v>-522.54311038552976</v>
      </c>
    </row>
    <row r="19" spans="1:24" ht="16.8" x14ac:dyDescent="0.3">
      <c r="A19" s="47" t="str">
        <f t="shared" si="8"/>
        <v>L7</v>
      </c>
      <c r="B19" s="10">
        <f t="shared" si="9"/>
        <v>0.17942010382692272</v>
      </c>
      <c r="C19" s="9">
        <f t="shared" si="6"/>
        <v>484.43428033269134</v>
      </c>
      <c r="D19" s="9">
        <f>IF(A19=0,0,($C$7*($C$10-7)))</f>
        <v>27</v>
      </c>
      <c r="G19" s="62">
        <v>9</v>
      </c>
      <c r="H19" s="58">
        <f t="shared" si="3"/>
        <v>0.46970819589099289</v>
      </c>
      <c r="I19" s="3"/>
      <c r="J19" s="3"/>
      <c r="K19" s="3"/>
      <c r="L19" s="3"/>
      <c r="M19" s="3"/>
      <c r="N19" s="3"/>
      <c r="O19" s="3"/>
      <c r="P19" s="3"/>
      <c r="Q19" s="59">
        <f>H6*H19*100</f>
        <v>281.82491753459573</v>
      </c>
      <c r="R19" s="59">
        <f>H19*100*(H6-H5)</f>
        <v>140.91245876729786</v>
      </c>
      <c r="S19" s="59">
        <f t="shared" ref="S19:X19" si="14">$H$19*100*($H$6-$H$5*J10)</f>
        <v>0</v>
      </c>
      <c r="T19" s="59">
        <f t="shared" si="14"/>
        <v>-140.91245876729786</v>
      </c>
      <c r="U19" s="59">
        <f t="shared" si="14"/>
        <v>-281.82491753459573</v>
      </c>
      <c r="V19" s="59">
        <f t="shared" si="14"/>
        <v>-422.73737630189356</v>
      </c>
      <c r="W19" s="59">
        <f t="shared" si="14"/>
        <v>-563.64983506919145</v>
      </c>
      <c r="X19" s="59">
        <f t="shared" si="14"/>
        <v>-704.56229383648929</v>
      </c>
    </row>
    <row r="20" spans="1:24" ht="16.8" x14ac:dyDescent="0.3">
      <c r="A20" s="47" t="str">
        <f>IF(A19=0,0,IF(VALUE(MID(A19,2,2))&gt;=$C$10,0,"L"&amp;VALUE(MID(A19,2,2))+1))</f>
        <v>L8</v>
      </c>
      <c r="B20" s="10">
        <f t="shared" si="9"/>
        <v>0.29030172799196097</v>
      </c>
      <c r="C20" s="9">
        <f t="shared" si="6"/>
        <v>696.72414718070627</v>
      </c>
      <c r="D20" s="9">
        <f>IF(A20=0,0,($C$7*($C$10-8)))</f>
        <v>24</v>
      </c>
      <c r="G20" s="62">
        <v>10</v>
      </c>
      <c r="H20" s="58">
        <f t="shared" si="3"/>
        <v>0.75998786095162651</v>
      </c>
      <c r="I20" s="3"/>
      <c r="J20" s="3"/>
      <c r="K20" s="3"/>
      <c r="L20" s="3"/>
      <c r="M20" s="3"/>
      <c r="N20" s="3"/>
      <c r="O20" s="3"/>
      <c r="P20" s="3"/>
      <c r="Q20" s="3"/>
      <c r="R20" s="59">
        <f>H6*H20*100</f>
        <v>455.99271657097586</v>
      </c>
      <c r="S20" s="59">
        <f>H20*100*(H6-H5)</f>
        <v>227.99635828548799</v>
      </c>
      <c r="T20" s="59">
        <f>$H$20*100*($H$6-$H$5*J10)</f>
        <v>0</v>
      </c>
      <c r="U20" s="59">
        <f>$H$20*100*($H$6-$H$5*K10)</f>
        <v>-227.99635828548799</v>
      </c>
      <c r="V20" s="59">
        <f>$H$20*100*($H$6-$H$5*L10)</f>
        <v>-455.99271657097597</v>
      </c>
      <c r="W20" s="59">
        <f>$H$20*100*($H$6-$H$5*M10)</f>
        <v>-683.98907485646396</v>
      </c>
      <c r="X20" s="59">
        <f>$H$20*100*($H$6-$H$5*N10)</f>
        <v>-911.98543314195194</v>
      </c>
    </row>
    <row r="21" spans="1:24" ht="16.8" x14ac:dyDescent="0.3">
      <c r="A21" s="47" t="str">
        <f t="shared" si="8"/>
        <v>L9</v>
      </c>
      <c r="B21" s="10">
        <f t="shared" si="9"/>
        <v>0.46970819589099289</v>
      </c>
      <c r="C21" s="9">
        <f t="shared" si="6"/>
        <v>986.38721137108507</v>
      </c>
      <c r="D21" s="9">
        <f>IF(A21=0,0,($C$7*($C$10-9)))</f>
        <v>21</v>
      </c>
      <c r="G21" s="62">
        <v>11</v>
      </c>
      <c r="H21" s="58">
        <f t="shared" si="3"/>
        <v>1.2296603590197317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60">
        <f>H6*H21*100</f>
        <v>737.79621541183906</v>
      </c>
      <c r="T21" s="60">
        <f>H21*100*(H6-H5)</f>
        <v>368.89810770591953</v>
      </c>
      <c r="U21" s="60">
        <f>$H$21*100*($H$6-$H$5*J10)</f>
        <v>0</v>
      </c>
      <c r="V21" s="60">
        <f>$H$21*100*($H$6-$H$5*K10)</f>
        <v>-368.89810770591953</v>
      </c>
      <c r="W21" s="60">
        <f>$H$21*100*($H$6-$H$5*L10)</f>
        <v>-737.79621541183906</v>
      </c>
      <c r="X21" s="60">
        <f>$H$21*100*($H$6-$H$5*M10)</f>
        <v>-1106.6943231177586</v>
      </c>
    </row>
    <row r="22" spans="1:24" ht="16.8" x14ac:dyDescent="0.3">
      <c r="A22" s="47" t="str">
        <f t="shared" si="8"/>
        <v>L10</v>
      </c>
      <c r="B22" s="10">
        <f t="shared" si="9"/>
        <v>0.75998786095162651</v>
      </c>
      <c r="C22" s="9">
        <f t="shared" si="6"/>
        <v>1367.9781497129277</v>
      </c>
      <c r="D22" s="9">
        <f>IF(A22=0,0,($C$7*($C$10-10)))</f>
        <v>18</v>
      </c>
      <c r="G22" s="62">
        <v>12</v>
      </c>
      <c r="H22" s="58">
        <f t="shared" si="3"/>
        <v>1.9895904608939261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60"/>
      <c r="T22" s="60">
        <f>H6*H22*100</f>
        <v>1193.7542765363555</v>
      </c>
      <c r="U22" s="60">
        <f>H22*100*(H6-H5)</f>
        <v>596.87713826817787</v>
      </c>
      <c r="V22" s="60">
        <f>$H$22*100*($H$6-$H$5*J10)</f>
        <v>0</v>
      </c>
      <c r="W22" s="60">
        <f>$H$22*100*($H$6-$H$5*K10)</f>
        <v>-596.87713826817787</v>
      </c>
      <c r="X22" s="60">
        <f>$H$22*100*($H$6-$H$5*L10)</f>
        <v>-1193.7542765363557</v>
      </c>
    </row>
    <row r="23" spans="1:24" ht="16.8" x14ac:dyDescent="0.3">
      <c r="A23" s="47" t="str">
        <f t="shared" si="8"/>
        <v>L11</v>
      </c>
      <c r="B23" s="10">
        <f t="shared" si="9"/>
        <v>1.2296603590197317</v>
      </c>
      <c r="C23" s="9">
        <f t="shared" si="6"/>
        <v>1844.4905385295974</v>
      </c>
      <c r="D23" s="9">
        <f>IF(A23=0,0,($C$7*($C$10-11)))</f>
        <v>15</v>
      </c>
      <c r="G23" s="62">
        <v>13</v>
      </c>
      <c r="H23" s="58">
        <f t="shared" si="3"/>
        <v>3.2191573657263728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60"/>
      <c r="T23" s="60"/>
      <c r="U23" s="60">
        <f>H6*H23*100</f>
        <v>1931.4944194358236</v>
      </c>
      <c r="V23" s="60">
        <f>H23*100*(H6-H5)</f>
        <v>965.7472097179118</v>
      </c>
      <c r="W23" s="60">
        <f>$H$23*100*($H$6-$H$5*J10)</f>
        <v>0</v>
      </c>
      <c r="X23" s="60">
        <f>$H$23*100*($H$6-$H$5*K10)</f>
        <v>-965.7472097179118</v>
      </c>
    </row>
    <row r="24" spans="1:24" ht="16.8" x14ac:dyDescent="0.3">
      <c r="A24" s="47" t="str">
        <f t="shared" si="8"/>
        <v>L12</v>
      </c>
      <c r="B24" s="10">
        <f t="shared" si="9"/>
        <v>1.9895904608939261</v>
      </c>
      <c r="C24" s="9">
        <f t="shared" si="6"/>
        <v>2387.508553072711</v>
      </c>
      <c r="D24" s="9">
        <f>IF(A24=0,0,($C$7*($C$10-12)))</f>
        <v>12</v>
      </c>
      <c r="G24" s="62">
        <v>14</v>
      </c>
      <c r="H24" s="58">
        <f t="shared" si="3"/>
        <v>5.2085966177452718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60"/>
      <c r="T24" s="60"/>
      <c r="U24" s="60"/>
      <c r="V24" s="60">
        <f>H6*H24*100</f>
        <v>3125.157970647163</v>
      </c>
      <c r="W24" s="60">
        <f>H24*100*(H6-H5)</f>
        <v>1562.5789853235817</v>
      </c>
      <c r="X24" s="60">
        <f>$H$24*100*($H$6-$H$5*J10)</f>
        <v>0</v>
      </c>
    </row>
    <row r="25" spans="1:24" ht="16.8" x14ac:dyDescent="0.3">
      <c r="A25" s="47" t="str">
        <f t="shared" si="8"/>
        <v>L13</v>
      </c>
      <c r="B25" s="10">
        <f t="shared" si="9"/>
        <v>3.2191573657263728</v>
      </c>
      <c r="C25" s="9">
        <f t="shared" si="6"/>
        <v>2897.2416291537356</v>
      </c>
      <c r="D25" s="9">
        <f>IF(A25=0,0,($C$7*($C$10-13)))</f>
        <v>9</v>
      </c>
      <c r="G25" s="62">
        <v>15</v>
      </c>
      <c r="H25" s="58">
        <f t="shared" si="3"/>
        <v>8.4275093275118511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60"/>
      <c r="T25" s="60"/>
      <c r="U25" s="60"/>
      <c r="V25" s="60"/>
      <c r="W25" s="60">
        <f>H6*H25*100</f>
        <v>5056.5055965071115</v>
      </c>
      <c r="X25" s="60">
        <f>H24*100*(H6-H5)</f>
        <v>1562.5789853235817</v>
      </c>
    </row>
    <row r="26" spans="1:24" ht="16.8" x14ac:dyDescent="0.3">
      <c r="A26" s="47" t="str">
        <f t="shared" si="8"/>
        <v>L14</v>
      </c>
      <c r="B26" s="10">
        <f t="shared" si="9"/>
        <v>5.2085966177452718</v>
      </c>
      <c r="C26" s="9">
        <f t="shared" si="6"/>
        <v>3125.157970647163</v>
      </c>
      <c r="D26" s="9">
        <f>IF(A26=0,0,($C$7*($C$10-14)))</f>
        <v>6</v>
      </c>
      <c r="G26" s="62">
        <v>16</v>
      </c>
      <c r="H26" s="58">
        <f t="shared" si="3"/>
        <v>13.635710091914175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60"/>
      <c r="T26" s="60"/>
      <c r="U26" s="60"/>
      <c r="V26" s="60"/>
      <c r="W26" s="60"/>
      <c r="X26" s="60">
        <f>H26*H6*100</f>
        <v>8181.4260551485049</v>
      </c>
    </row>
    <row r="27" spans="1:24" ht="16.8" x14ac:dyDescent="0.3">
      <c r="A27" s="47" t="str">
        <f t="shared" si="8"/>
        <v>L15</v>
      </c>
      <c r="B27" s="10">
        <f t="shared" si="9"/>
        <v>8.4275093275118511</v>
      </c>
      <c r="C27" s="9">
        <f t="shared" si="6"/>
        <v>2528.2527982535557</v>
      </c>
      <c r="D27" s="9">
        <f>IF(A27=0,0,($C$7*($C$10-15)))</f>
        <v>3</v>
      </c>
      <c r="G27" s="64" t="s">
        <v>51</v>
      </c>
      <c r="H27" s="65"/>
      <c r="I27" s="66">
        <f t="shared" ref="I27:X27" si="15">SUM(I11:I26)</f>
        <v>6</v>
      </c>
      <c r="J27" s="66">
        <f t="shared" si="15"/>
        <v>12.707999999999998</v>
      </c>
      <c r="K27" s="66">
        <f t="shared" si="15"/>
        <v>20.561544000000001</v>
      </c>
      <c r="L27" s="66">
        <f t="shared" si="15"/>
        <v>30.268578192</v>
      </c>
      <c r="M27" s="66">
        <f t="shared" si="15"/>
        <v>42.974559514656015</v>
      </c>
      <c r="N27" s="66">
        <f t="shared" si="15"/>
        <v>60.532837294713431</v>
      </c>
      <c r="O27" s="66">
        <f t="shared" si="15"/>
        <v>85.942130742846345</v>
      </c>
      <c r="P27" s="66">
        <f t="shared" si="15"/>
        <v>124.05436754192537</v>
      </c>
      <c r="Q27" s="66">
        <f t="shared" si="15"/>
        <v>182.71996668283532</v>
      </c>
      <c r="R27" s="66">
        <f t="shared" si="15"/>
        <v>274.64090609282744</v>
      </c>
      <c r="S27" s="66">
        <f t="shared" si="15"/>
        <v>420.36898605819499</v>
      </c>
      <c r="T27" s="66">
        <f t="shared" si="15"/>
        <v>653.15701944215925</v>
      </c>
      <c r="U27" s="66">
        <f t="shared" si="15"/>
        <v>1026.8080574574142</v>
      </c>
      <c r="V27" s="66">
        <f t="shared" si="15"/>
        <v>1628.3754369660958</v>
      </c>
      <c r="W27" s="66">
        <f t="shared" si="15"/>
        <v>2598.7114570111453</v>
      </c>
      <c r="X27" s="66">
        <f t="shared" si="15"/>
        <v>3200.0413245140589</v>
      </c>
    </row>
    <row r="28" spans="1:24" ht="16.8" x14ac:dyDescent="0.3">
      <c r="A28" s="47" t="str">
        <f t="shared" si="8"/>
        <v>L16</v>
      </c>
      <c r="B28" s="10">
        <f t="shared" si="9"/>
        <v>13.635710091914175</v>
      </c>
      <c r="C28" s="9">
        <f t="shared" si="6"/>
        <v>0</v>
      </c>
      <c r="D28" s="9">
        <f>IF(A28=0,0,($C$7*($C$10-16)))</f>
        <v>0</v>
      </c>
      <c r="G28" s="1"/>
      <c r="H28" s="1"/>
      <c r="I28" s="69">
        <f>SUM($H11:$H11)</f>
        <v>0.01</v>
      </c>
      <c r="J28" s="69">
        <f>SUM($H11:$H12)</f>
        <v>2.6180000000000002E-2</v>
      </c>
      <c r="K28" s="69">
        <f>SUM($H11:$H13)</f>
        <v>5.2359240000000001E-2</v>
      </c>
      <c r="L28" s="69">
        <f>SUM($H11:$H14)</f>
        <v>9.4717250320000002E-2</v>
      </c>
      <c r="M28" s="69">
        <f>SUM($H11:$H15)</f>
        <v>0.16325251101776</v>
      </c>
      <c r="N28" s="69">
        <f>SUM($H11:$H16)</f>
        <v>0.27414256282673571</v>
      </c>
      <c r="O28" s="69">
        <f>SUM($H11:$H17)</f>
        <v>0.45356266665365841</v>
      </c>
      <c r="P28" s="69">
        <f>SUM($H11:$H18)</f>
        <v>0.74386439464561938</v>
      </c>
      <c r="Q28" s="69">
        <f>SUM($H11:$H19)</f>
        <v>1.2135725905366122</v>
      </c>
      <c r="R28" s="69">
        <f>SUM($H11:$H20)</f>
        <v>1.9735604514882388</v>
      </c>
      <c r="S28" s="69">
        <f>SUM($H11:$H21)</f>
        <v>3.2032208105079705</v>
      </c>
      <c r="T28" s="69">
        <f>SUM($H11:$H22)</f>
        <v>5.1928112714018964</v>
      </c>
      <c r="U28" s="69">
        <f>SUM($H11:$H23)</f>
        <v>8.4119686371282683</v>
      </c>
      <c r="V28" s="69">
        <f>SUM($H11:$H24)</f>
        <v>13.62056525487354</v>
      </c>
      <c r="W28" s="69">
        <f>SUM($H11:$H25)</f>
        <v>22.048074582385389</v>
      </c>
      <c r="X28" s="69">
        <f>SUM($H11:$H26)</f>
        <v>35.683784674299567</v>
      </c>
    </row>
    <row r="29" spans="1:24" ht="16.8" x14ac:dyDescent="0.3">
      <c r="A29" s="47">
        <f t="shared" si="8"/>
        <v>0</v>
      </c>
      <c r="B29" s="10">
        <f t="shared" si="9"/>
        <v>0</v>
      </c>
      <c r="C29" s="9">
        <f t="shared" si="6"/>
        <v>0</v>
      </c>
      <c r="D29" s="9">
        <f>IF(A29=0,0,($C$7*($C$10-17)))</f>
        <v>0</v>
      </c>
    </row>
    <row r="30" spans="1:24" ht="16.8" x14ac:dyDescent="0.3">
      <c r="A30" s="47">
        <f t="shared" si="8"/>
        <v>0</v>
      </c>
      <c r="B30" s="10">
        <f t="shared" si="9"/>
        <v>0</v>
      </c>
      <c r="C30" s="9">
        <f t="shared" si="6"/>
        <v>0</v>
      </c>
      <c r="D30" s="9">
        <f>IF(A30=0,0,($C$7*($C$10-18)))</f>
        <v>0</v>
      </c>
    </row>
    <row r="31" spans="1:24" ht="16.8" x14ac:dyDescent="0.3">
      <c r="A31" s="47">
        <f t="shared" si="8"/>
        <v>0</v>
      </c>
      <c r="B31" s="10">
        <f t="shared" si="9"/>
        <v>0</v>
      </c>
      <c r="C31" s="9">
        <f t="shared" si="6"/>
        <v>0</v>
      </c>
      <c r="D31" s="9">
        <f>IF(A31=0,0,($C$7*($C$10-19)))</f>
        <v>0</v>
      </c>
    </row>
    <row r="32" spans="1:24" ht="16.8" x14ac:dyDescent="0.3">
      <c r="A32" s="47">
        <f t="shared" si="8"/>
        <v>0</v>
      </c>
      <c r="B32" s="10">
        <f t="shared" si="9"/>
        <v>0</v>
      </c>
      <c r="C32" s="9">
        <f t="shared" si="6"/>
        <v>0</v>
      </c>
      <c r="D32" s="9">
        <f>IF(A32=0,0,($C$7*($C$10-20)))</f>
        <v>0</v>
      </c>
    </row>
    <row r="33" spans="1:4" ht="16.8" x14ac:dyDescent="0.3">
      <c r="A33" s="47">
        <f t="shared" si="8"/>
        <v>0</v>
      </c>
      <c r="B33" s="10">
        <f t="shared" si="9"/>
        <v>0</v>
      </c>
      <c r="C33" s="9">
        <f t="shared" si="6"/>
        <v>0</v>
      </c>
      <c r="D33" s="9">
        <f t="shared" ref="D33:D43" si="16">IF(A33=0,0,($C$7*($C$10-20)))</f>
        <v>0</v>
      </c>
    </row>
    <row r="34" spans="1:4" ht="16.8" x14ac:dyDescent="0.3">
      <c r="A34" s="47">
        <f t="shared" si="8"/>
        <v>0</v>
      </c>
      <c r="B34" s="10">
        <f t="shared" si="9"/>
        <v>0</v>
      </c>
      <c r="C34" s="9">
        <f t="shared" si="6"/>
        <v>0</v>
      </c>
      <c r="D34" s="9">
        <f t="shared" si="16"/>
        <v>0</v>
      </c>
    </row>
    <row r="35" spans="1:4" ht="16.8" x14ac:dyDescent="0.3">
      <c r="A35" s="47">
        <f t="shared" si="8"/>
        <v>0</v>
      </c>
      <c r="B35" s="10">
        <f t="shared" si="9"/>
        <v>0</v>
      </c>
      <c r="C35" s="9">
        <f t="shared" si="6"/>
        <v>0</v>
      </c>
      <c r="D35" s="9">
        <f t="shared" si="16"/>
        <v>0</v>
      </c>
    </row>
    <row r="36" spans="1:4" ht="16.8" x14ac:dyDescent="0.3">
      <c r="A36" s="47">
        <f t="shared" si="8"/>
        <v>0</v>
      </c>
      <c r="B36" s="10">
        <f t="shared" si="9"/>
        <v>0</v>
      </c>
      <c r="C36" s="9">
        <f t="shared" si="6"/>
        <v>0</v>
      </c>
      <c r="D36" s="9">
        <f t="shared" si="16"/>
        <v>0</v>
      </c>
    </row>
    <row r="37" spans="1:4" ht="16.8" x14ac:dyDescent="0.3">
      <c r="A37" s="47">
        <f t="shared" si="8"/>
        <v>0</v>
      </c>
      <c r="B37" s="10">
        <f t="shared" si="9"/>
        <v>0</v>
      </c>
      <c r="C37" s="9">
        <f t="shared" si="6"/>
        <v>0</v>
      </c>
      <c r="D37" s="9">
        <f t="shared" si="16"/>
        <v>0</v>
      </c>
    </row>
    <row r="38" spans="1:4" ht="16.8" x14ac:dyDescent="0.3">
      <c r="A38" s="47">
        <f t="shared" si="8"/>
        <v>0</v>
      </c>
      <c r="B38" s="10">
        <f t="shared" si="9"/>
        <v>0</v>
      </c>
      <c r="C38" s="9">
        <f t="shared" si="6"/>
        <v>0</v>
      </c>
      <c r="D38" s="9">
        <f t="shared" si="16"/>
        <v>0</v>
      </c>
    </row>
    <row r="39" spans="1:4" ht="16.8" x14ac:dyDescent="0.3">
      <c r="A39" s="47">
        <f t="shared" si="8"/>
        <v>0</v>
      </c>
      <c r="B39" s="10">
        <f t="shared" si="9"/>
        <v>0</v>
      </c>
      <c r="C39" s="9">
        <f t="shared" si="6"/>
        <v>0</v>
      </c>
      <c r="D39" s="9">
        <f t="shared" si="16"/>
        <v>0</v>
      </c>
    </row>
    <row r="40" spans="1:4" ht="16.8" x14ac:dyDescent="0.3">
      <c r="A40" s="47">
        <f t="shared" si="8"/>
        <v>0</v>
      </c>
      <c r="B40" s="10">
        <f t="shared" si="9"/>
        <v>0</v>
      </c>
      <c r="C40" s="9">
        <f t="shared" si="6"/>
        <v>0</v>
      </c>
      <c r="D40" s="9">
        <f t="shared" si="16"/>
        <v>0</v>
      </c>
    </row>
    <row r="41" spans="1:4" ht="16.8" x14ac:dyDescent="0.3">
      <c r="A41" s="47">
        <f t="shared" si="8"/>
        <v>0</v>
      </c>
      <c r="B41" s="10">
        <f t="shared" si="9"/>
        <v>0</v>
      </c>
      <c r="C41" s="9">
        <f t="shared" si="6"/>
        <v>0</v>
      </c>
      <c r="D41" s="9">
        <f t="shared" si="16"/>
        <v>0</v>
      </c>
    </row>
    <row r="42" spans="1:4" ht="16.8" x14ac:dyDescent="0.3">
      <c r="A42" s="47">
        <f t="shared" si="8"/>
        <v>0</v>
      </c>
      <c r="B42" s="10">
        <f t="shared" si="9"/>
        <v>0</v>
      </c>
      <c r="C42" s="9">
        <f t="shared" si="6"/>
        <v>0</v>
      </c>
      <c r="D42" s="9">
        <f t="shared" si="16"/>
        <v>0</v>
      </c>
    </row>
    <row r="43" spans="1:4" ht="17.399999999999999" thickBot="1" x14ac:dyDescent="0.35">
      <c r="A43" s="47">
        <f t="shared" si="8"/>
        <v>0</v>
      </c>
      <c r="B43" s="10">
        <f t="shared" si="9"/>
        <v>0</v>
      </c>
      <c r="C43" s="9">
        <f t="shared" si="6"/>
        <v>0</v>
      </c>
      <c r="D43" s="9">
        <f t="shared" si="16"/>
        <v>0</v>
      </c>
    </row>
    <row r="44" spans="1:4" ht="18" thickTop="1" thickBot="1" x14ac:dyDescent="0.3">
      <c r="A44" s="82" t="s">
        <v>12</v>
      </c>
      <c r="B44" s="83"/>
      <c r="C44" s="48">
        <f>SUM(C13:C43)</f>
        <v>17244.555667135704</v>
      </c>
      <c r="D44" s="49">
        <f>MAX(D13:D43)</f>
        <v>45</v>
      </c>
    </row>
    <row r="45" spans="1:4" ht="13.8" thickTop="1" x14ac:dyDescent="0.25"/>
  </sheetData>
  <protectedRanges>
    <protectedRange sqref="C2:D10" name="DATA_2"/>
  </protectedRanges>
  <mergeCells count="26">
    <mergeCell ref="J3:K3"/>
    <mergeCell ref="L3:M3"/>
    <mergeCell ref="N3:P3"/>
    <mergeCell ref="J2:K2"/>
    <mergeCell ref="L2:M2"/>
    <mergeCell ref="N2:P2"/>
    <mergeCell ref="A44:B44"/>
    <mergeCell ref="A8:B8"/>
    <mergeCell ref="C8:D8"/>
    <mergeCell ref="A9:B9"/>
    <mergeCell ref="C9:D9"/>
    <mergeCell ref="A10:B10"/>
    <mergeCell ref="C10:D10"/>
    <mergeCell ref="A5:B5"/>
    <mergeCell ref="C5:D5"/>
    <mergeCell ref="A6:B6"/>
    <mergeCell ref="C6:D6"/>
    <mergeCell ref="A7:B7"/>
    <mergeCell ref="C7:D7"/>
    <mergeCell ref="A4:B4"/>
    <mergeCell ref="C4:D4"/>
    <mergeCell ref="A1:D1"/>
    <mergeCell ref="A2:B2"/>
    <mergeCell ref="C2:D2"/>
    <mergeCell ref="A3:B3"/>
    <mergeCell ref="C3:D3"/>
  </mergeCells>
  <phoneticPr fontId="8"/>
  <conditionalFormatting sqref="I10">
    <cfRule type="expression" dxfId="15" priority="14">
      <formula>$I$10=$C$10</formula>
    </cfRule>
  </conditionalFormatting>
  <conditionalFormatting sqref="J10">
    <cfRule type="expression" dxfId="14" priority="15">
      <formula>$J$10=$C$10</formula>
    </cfRule>
  </conditionalFormatting>
  <conditionalFormatting sqref="K10">
    <cfRule type="expression" dxfId="13" priority="16">
      <formula>$K$10=$C$10</formula>
    </cfRule>
  </conditionalFormatting>
  <conditionalFormatting sqref="L10">
    <cfRule type="expression" dxfId="12" priority="13">
      <formula>$L$10=$C$10</formula>
    </cfRule>
  </conditionalFormatting>
  <conditionalFormatting sqref="M10">
    <cfRule type="expression" dxfId="11" priority="12">
      <formula>$M$10=$C$10</formula>
    </cfRule>
  </conditionalFormatting>
  <conditionalFormatting sqref="N10">
    <cfRule type="expression" dxfId="10" priority="11">
      <formula>$N$10=$C$10</formula>
    </cfRule>
  </conditionalFormatting>
  <conditionalFormatting sqref="O10">
    <cfRule type="expression" dxfId="9" priority="10">
      <formula>$O$10=$C$10</formula>
    </cfRule>
  </conditionalFormatting>
  <conditionalFormatting sqref="P10">
    <cfRule type="expression" dxfId="8" priority="9">
      <formula>$P$10=$C$10</formula>
    </cfRule>
  </conditionalFormatting>
  <conditionalFormatting sqref="Q10">
    <cfRule type="expression" dxfId="7" priority="8">
      <formula>$Q$10=$C$10</formula>
    </cfRule>
  </conditionalFormatting>
  <conditionalFormatting sqref="R10">
    <cfRule type="expression" dxfId="6" priority="7">
      <formula>$R$10=$C$10</formula>
    </cfRule>
  </conditionalFormatting>
  <conditionalFormatting sqref="S10">
    <cfRule type="expression" dxfId="5" priority="6">
      <formula>$S$10=$C$10</formula>
    </cfRule>
  </conditionalFormatting>
  <conditionalFormatting sqref="T10">
    <cfRule type="expression" dxfId="4" priority="5">
      <formula>$T$10=$C$10</formula>
    </cfRule>
  </conditionalFormatting>
  <conditionalFormatting sqref="U10">
    <cfRule type="expression" dxfId="3" priority="4">
      <formula>$U$10=$C$10</formula>
    </cfRule>
  </conditionalFormatting>
  <conditionalFormatting sqref="V10">
    <cfRule type="expression" dxfId="2" priority="3">
      <formula>$V$10=$C$10</formula>
    </cfRule>
  </conditionalFormatting>
  <conditionalFormatting sqref="W10">
    <cfRule type="expression" dxfId="1" priority="2">
      <formula>$W$10=$C$10</formula>
    </cfRule>
  </conditionalFormatting>
  <conditionalFormatting sqref="X10">
    <cfRule type="expression" dxfId="0" priority="1">
      <formula>$X$10=$C$10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32"/>
  <sheetViews>
    <sheetView workbookViewId="0">
      <selection activeCell="K31" sqref="K31"/>
    </sheetView>
  </sheetViews>
  <sheetFormatPr defaultColWidth="9.09765625" defaultRowHeight="13.8" x14ac:dyDescent="0.45"/>
  <cols>
    <col min="1" max="1" width="9.09765625" style="13"/>
    <col min="2" max="2" width="6" style="13" customWidth="1"/>
    <col min="3" max="4" width="9.09765625" style="39"/>
    <col min="5" max="5" width="15.3984375" style="39" bestFit="1" customWidth="1"/>
    <col min="6" max="6" width="9.09765625" style="39"/>
    <col min="7" max="20" width="9.09765625" style="13"/>
    <col min="21" max="21" width="10.3984375" style="13" customWidth="1"/>
    <col min="22" max="16384" width="9.09765625" style="13"/>
  </cols>
  <sheetData>
    <row r="1" spans="2:23" x14ac:dyDescent="0.45">
      <c r="B1" s="99" t="s">
        <v>58</v>
      </c>
      <c r="C1" s="99"/>
      <c r="D1" s="99"/>
      <c r="E1" s="14" t="s">
        <v>55</v>
      </c>
      <c r="F1" s="15">
        <v>1</v>
      </c>
      <c r="G1" s="15">
        <v>1.6</v>
      </c>
      <c r="H1" s="15">
        <v>1.7</v>
      </c>
    </row>
    <row r="2" spans="2:23" x14ac:dyDescent="0.45">
      <c r="B2" s="99" t="s">
        <v>59</v>
      </c>
      <c r="C2" s="99"/>
      <c r="D2" s="100"/>
      <c r="E2" s="16" t="s">
        <v>15</v>
      </c>
      <c r="F2" s="16"/>
      <c r="G2" s="17"/>
      <c r="H2" s="18">
        <v>5</v>
      </c>
      <c r="I2" s="18">
        <v>5</v>
      </c>
      <c r="J2" s="18">
        <v>5</v>
      </c>
      <c r="K2" s="18">
        <v>5</v>
      </c>
      <c r="L2" s="18">
        <v>5</v>
      </c>
      <c r="M2" s="18">
        <v>5</v>
      </c>
      <c r="N2" s="18">
        <v>5</v>
      </c>
      <c r="O2" s="18">
        <v>3</v>
      </c>
      <c r="P2" s="18">
        <v>3</v>
      </c>
      <c r="Q2" s="18">
        <v>1</v>
      </c>
      <c r="R2" s="18">
        <v>1</v>
      </c>
      <c r="S2" s="18">
        <v>1</v>
      </c>
      <c r="T2" s="18">
        <v>1</v>
      </c>
      <c r="U2" s="18">
        <v>1</v>
      </c>
    </row>
    <row r="3" spans="2:23" x14ac:dyDescent="0.45">
      <c r="B3" s="99"/>
      <c r="C3" s="99"/>
      <c r="D3" s="100"/>
      <c r="E3" s="19" t="s">
        <v>56</v>
      </c>
      <c r="F3" s="19"/>
      <c r="G3" s="20"/>
      <c r="H3" s="20">
        <f>H2</f>
        <v>5</v>
      </c>
      <c r="I3" s="20">
        <f>SUM($H$2:I2)</f>
        <v>10</v>
      </c>
      <c r="J3" s="20">
        <f>SUM($H$2:J2)</f>
        <v>15</v>
      </c>
      <c r="K3" s="20">
        <f>SUM($H$2:K2)</f>
        <v>20</v>
      </c>
      <c r="L3" s="20">
        <f>SUM($H$2:L2)</f>
        <v>25</v>
      </c>
      <c r="M3" s="20">
        <f>SUM($H$2:M2)</f>
        <v>30</v>
      </c>
      <c r="N3" s="20">
        <f>SUM($H$2:N2)</f>
        <v>35</v>
      </c>
      <c r="O3" s="20">
        <f>SUM($H$2:O2)</f>
        <v>38</v>
      </c>
      <c r="P3" s="20">
        <f>SUM($H$2:P2)</f>
        <v>41</v>
      </c>
      <c r="Q3" s="20">
        <f>SUM($H$2:Q2)</f>
        <v>42</v>
      </c>
      <c r="R3" s="20">
        <f>SUM($H$2:R2)</f>
        <v>43</v>
      </c>
      <c r="S3" s="20">
        <f>SUM($H$2:S2)</f>
        <v>44</v>
      </c>
      <c r="T3" s="20">
        <f>SUM($H$2:T2)</f>
        <v>45</v>
      </c>
      <c r="U3" s="20">
        <f>SUM($H$2:U2)</f>
        <v>46</v>
      </c>
    </row>
    <row r="4" spans="2:23" ht="14.4" thickBot="1" x14ac:dyDescent="0.5">
      <c r="B4" s="101" t="s">
        <v>60</v>
      </c>
      <c r="C4" s="101"/>
      <c r="D4" s="102"/>
      <c r="E4" s="21" t="s">
        <v>16</v>
      </c>
      <c r="F4" s="21"/>
      <c r="G4" s="22">
        <v>30</v>
      </c>
      <c r="H4" s="22">
        <v>30</v>
      </c>
      <c r="I4" s="22">
        <v>30</v>
      </c>
      <c r="J4" s="22">
        <v>30</v>
      </c>
      <c r="K4" s="22">
        <v>30</v>
      </c>
      <c r="L4" s="22">
        <v>30</v>
      </c>
      <c r="M4" s="22">
        <v>30</v>
      </c>
      <c r="N4" s="22">
        <v>30</v>
      </c>
      <c r="O4" s="22">
        <v>3</v>
      </c>
      <c r="P4" s="22">
        <v>3</v>
      </c>
      <c r="Q4" s="22">
        <v>1.5</v>
      </c>
      <c r="R4" s="22">
        <v>1.5</v>
      </c>
      <c r="S4" s="22">
        <v>1.5</v>
      </c>
      <c r="T4" s="22">
        <v>1.5</v>
      </c>
      <c r="U4" s="22">
        <v>1.5</v>
      </c>
    </row>
    <row r="5" spans="2:23" ht="15" thickBot="1" x14ac:dyDescent="0.5">
      <c r="B5" s="50" t="s">
        <v>57</v>
      </c>
      <c r="C5" s="23">
        <f>F1</f>
        <v>1</v>
      </c>
      <c r="D5" s="23">
        <f>G1</f>
        <v>1.6</v>
      </c>
      <c r="E5" s="23">
        <f>H1</f>
        <v>1.7</v>
      </c>
      <c r="F5" s="24" t="s">
        <v>18</v>
      </c>
      <c r="G5" s="25" t="s">
        <v>35</v>
      </c>
      <c r="H5" s="25" t="s">
        <v>36</v>
      </c>
      <c r="I5" s="25" t="s">
        <v>37</v>
      </c>
      <c r="J5" s="25" t="s">
        <v>38</v>
      </c>
      <c r="K5" s="25" t="s">
        <v>39</v>
      </c>
      <c r="L5" s="25" t="s">
        <v>40</v>
      </c>
      <c r="M5" s="25" t="s">
        <v>41</v>
      </c>
      <c r="N5" s="25" t="s">
        <v>42</v>
      </c>
      <c r="O5" s="25" t="s">
        <v>43</v>
      </c>
      <c r="P5" s="25" t="s">
        <v>44</v>
      </c>
      <c r="Q5" s="25" t="s">
        <v>45</v>
      </c>
      <c r="R5" s="25" t="s">
        <v>46</v>
      </c>
      <c r="S5" s="25" t="s">
        <v>47</v>
      </c>
      <c r="T5" s="25" t="s">
        <v>48</v>
      </c>
      <c r="U5" s="25" t="s">
        <v>49</v>
      </c>
    </row>
    <row r="6" spans="2:23" x14ac:dyDescent="0.45">
      <c r="B6" s="26" t="s">
        <v>35</v>
      </c>
      <c r="C6" s="27">
        <v>0.01</v>
      </c>
      <c r="D6" s="28">
        <f>C6</f>
        <v>0.01</v>
      </c>
      <c r="E6" s="28">
        <f>C6</f>
        <v>0.01</v>
      </c>
      <c r="F6" s="27">
        <v>0.01</v>
      </c>
      <c r="G6" s="29">
        <f>F6*G4*100</f>
        <v>30</v>
      </c>
      <c r="H6" s="30">
        <f>$F$6*(H4-H3)*100</f>
        <v>25</v>
      </c>
      <c r="I6" s="30">
        <f t="shared" ref="I6:U6" si="0">$F$6*(I4-I3)*100</f>
        <v>20</v>
      </c>
      <c r="J6" s="30">
        <f t="shared" si="0"/>
        <v>15</v>
      </c>
      <c r="K6" s="30">
        <f t="shared" si="0"/>
        <v>10</v>
      </c>
      <c r="L6" s="30">
        <f t="shared" si="0"/>
        <v>5</v>
      </c>
      <c r="M6" s="30">
        <f t="shared" si="0"/>
        <v>0</v>
      </c>
      <c r="N6" s="30">
        <f t="shared" si="0"/>
        <v>-5</v>
      </c>
      <c r="O6" s="30">
        <f t="shared" si="0"/>
        <v>-35</v>
      </c>
      <c r="P6" s="30">
        <f t="shared" si="0"/>
        <v>-38</v>
      </c>
      <c r="Q6" s="30">
        <f t="shared" si="0"/>
        <v>-40.5</v>
      </c>
      <c r="R6" s="30">
        <f t="shared" si="0"/>
        <v>-41.5</v>
      </c>
      <c r="S6" s="30">
        <f t="shared" si="0"/>
        <v>-42.5</v>
      </c>
      <c r="T6" s="30">
        <f t="shared" si="0"/>
        <v>-43.5</v>
      </c>
      <c r="U6" s="31">
        <f t="shared" si="0"/>
        <v>-44.5</v>
      </c>
      <c r="V6" s="32"/>
      <c r="W6" s="32"/>
    </row>
    <row r="7" spans="2:23" x14ac:dyDescent="0.45">
      <c r="B7" s="26" t="s">
        <v>36</v>
      </c>
      <c r="C7" s="28">
        <f>C6*$F$1</f>
        <v>0.01</v>
      </c>
      <c r="D7" s="28">
        <f t="shared" ref="D7:D20" si="1">D6*$G$1</f>
        <v>1.6E-2</v>
      </c>
      <c r="E7" s="28">
        <f t="shared" ref="E7:E20" si="2">E6*$H$1</f>
        <v>1.7000000000000001E-2</v>
      </c>
      <c r="F7" s="28">
        <f>F6*$F$1</f>
        <v>0.01</v>
      </c>
      <c r="G7" s="33"/>
      <c r="H7" s="34">
        <f>F7*H4*100</f>
        <v>30</v>
      </c>
      <c r="I7" s="34">
        <f>$F$7*(I4-(I3-H3))*100</f>
        <v>25</v>
      </c>
      <c r="J7" s="34">
        <f>$F$7*100*(J4-(J3-$H$3))</f>
        <v>20</v>
      </c>
      <c r="K7" s="34">
        <f t="shared" ref="K7:U7" si="3">$F$7*100*(K4-(K3-$H$3))</f>
        <v>15</v>
      </c>
      <c r="L7" s="34">
        <f t="shared" si="3"/>
        <v>10</v>
      </c>
      <c r="M7" s="34">
        <f t="shared" si="3"/>
        <v>5</v>
      </c>
      <c r="N7" s="34">
        <f t="shared" si="3"/>
        <v>0</v>
      </c>
      <c r="O7" s="34">
        <f t="shared" si="3"/>
        <v>-30</v>
      </c>
      <c r="P7" s="34">
        <f t="shared" si="3"/>
        <v>-33</v>
      </c>
      <c r="Q7" s="34">
        <f t="shared" si="3"/>
        <v>-35.5</v>
      </c>
      <c r="R7" s="34">
        <f t="shared" si="3"/>
        <v>-36.5</v>
      </c>
      <c r="S7" s="34">
        <f t="shared" si="3"/>
        <v>-37.5</v>
      </c>
      <c r="T7" s="34">
        <f t="shared" si="3"/>
        <v>-38.5</v>
      </c>
      <c r="U7" s="35">
        <f t="shared" si="3"/>
        <v>-39.5</v>
      </c>
      <c r="V7" s="32"/>
      <c r="W7" s="32"/>
    </row>
    <row r="8" spans="2:23" x14ac:dyDescent="0.45">
      <c r="B8" s="26" t="s">
        <v>37</v>
      </c>
      <c r="C8" s="28">
        <f>C7*$F$1</f>
        <v>0.01</v>
      </c>
      <c r="D8" s="28">
        <f t="shared" si="1"/>
        <v>2.5600000000000001E-2</v>
      </c>
      <c r="E8" s="28">
        <f t="shared" si="2"/>
        <v>2.8900000000000002E-2</v>
      </c>
      <c r="F8" s="28">
        <f>F7*$F$1</f>
        <v>0.01</v>
      </c>
      <c r="G8" s="33"/>
      <c r="H8" s="34"/>
      <c r="I8" s="34">
        <f>F8*I4*100</f>
        <v>30</v>
      </c>
      <c r="J8" s="34">
        <f>$F$8*100*(J4 -(J3-$I$3))</f>
        <v>25</v>
      </c>
      <c r="K8" s="34">
        <f t="shared" ref="K8:U8" si="4">$F$8*100*(K4 -(K3-$I$3))</f>
        <v>20</v>
      </c>
      <c r="L8" s="34">
        <f t="shared" si="4"/>
        <v>15</v>
      </c>
      <c r="M8" s="34">
        <f t="shared" si="4"/>
        <v>10</v>
      </c>
      <c r="N8" s="34">
        <f t="shared" si="4"/>
        <v>5</v>
      </c>
      <c r="O8" s="34">
        <f t="shared" si="4"/>
        <v>-25</v>
      </c>
      <c r="P8" s="34">
        <f t="shared" si="4"/>
        <v>-28</v>
      </c>
      <c r="Q8" s="34">
        <f t="shared" si="4"/>
        <v>-30.5</v>
      </c>
      <c r="R8" s="34">
        <f t="shared" si="4"/>
        <v>-31.5</v>
      </c>
      <c r="S8" s="34">
        <f t="shared" si="4"/>
        <v>-32.5</v>
      </c>
      <c r="T8" s="34">
        <f t="shared" si="4"/>
        <v>-33.5</v>
      </c>
      <c r="U8" s="35">
        <f t="shared" si="4"/>
        <v>-34.5</v>
      </c>
      <c r="V8" s="32"/>
      <c r="W8" s="32"/>
    </row>
    <row r="9" spans="2:23" x14ac:dyDescent="0.45">
      <c r="B9" s="26" t="s">
        <v>38</v>
      </c>
      <c r="C9" s="28">
        <f t="shared" ref="C9:C20" si="5">C8*$F$1</f>
        <v>0.01</v>
      </c>
      <c r="D9" s="28">
        <f t="shared" si="1"/>
        <v>4.0960000000000003E-2</v>
      </c>
      <c r="E9" s="28">
        <f t="shared" si="2"/>
        <v>4.913E-2</v>
      </c>
      <c r="F9" s="28">
        <f t="shared" ref="F9:F13" si="6">F8*$F$1</f>
        <v>0.01</v>
      </c>
      <c r="G9" s="33"/>
      <c r="H9" s="34"/>
      <c r="I9" s="34"/>
      <c r="J9" s="34">
        <f>F9*J4*100</f>
        <v>30</v>
      </c>
      <c r="K9" s="34">
        <f>$F$9*(K4-(K3-$J$3))*100</f>
        <v>25</v>
      </c>
      <c r="L9" s="34">
        <f t="shared" ref="L9:U9" si="7">$F$9*(L4-(L3-$J$3))*100</f>
        <v>20</v>
      </c>
      <c r="M9" s="34">
        <f t="shared" si="7"/>
        <v>15</v>
      </c>
      <c r="N9" s="34">
        <f t="shared" si="7"/>
        <v>10</v>
      </c>
      <c r="O9" s="34">
        <f t="shared" si="7"/>
        <v>-20</v>
      </c>
      <c r="P9" s="34">
        <f t="shared" si="7"/>
        <v>-23</v>
      </c>
      <c r="Q9" s="34">
        <f t="shared" si="7"/>
        <v>-25.5</v>
      </c>
      <c r="R9" s="34">
        <f t="shared" si="7"/>
        <v>-26.5</v>
      </c>
      <c r="S9" s="34">
        <f t="shared" si="7"/>
        <v>-27.500000000000004</v>
      </c>
      <c r="T9" s="34">
        <f t="shared" si="7"/>
        <v>-28.500000000000004</v>
      </c>
      <c r="U9" s="35">
        <f t="shared" si="7"/>
        <v>-29.5</v>
      </c>
      <c r="V9" s="32"/>
      <c r="W9" s="32"/>
    </row>
    <row r="10" spans="2:23" x14ac:dyDescent="0.45">
      <c r="B10" s="26" t="s">
        <v>39</v>
      </c>
      <c r="C10" s="28">
        <f t="shared" si="5"/>
        <v>0.01</v>
      </c>
      <c r="D10" s="28">
        <f t="shared" si="1"/>
        <v>6.5536000000000011E-2</v>
      </c>
      <c r="E10" s="28">
        <f t="shared" si="2"/>
        <v>8.3520999999999998E-2</v>
      </c>
      <c r="F10" s="28">
        <f t="shared" si="6"/>
        <v>0.01</v>
      </c>
      <c r="G10" s="33"/>
      <c r="H10" s="34"/>
      <c r="I10" s="34"/>
      <c r="J10" s="34"/>
      <c r="K10" s="34">
        <f>F10*K4*100</f>
        <v>30</v>
      </c>
      <c r="L10" s="34">
        <f>$F$10*(L4-(L3-$K$3))*100</f>
        <v>25</v>
      </c>
      <c r="M10" s="34">
        <f>$F$10*(M4-(M3-$K$3))*100</f>
        <v>20</v>
      </c>
      <c r="N10" s="34">
        <f t="shared" ref="N10:U10" si="8">$F$10*(N4-(N3-$K$3))*100</f>
        <v>15</v>
      </c>
      <c r="O10" s="34">
        <f t="shared" si="8"/>
        <v>-15</v>
      </c>
      <c r="P10" s="34">
        <f t="shared" si="8"/>
        <v>-18</v>
      </c>
      <c r="Q10" s="34">
        <f t="shared" si="8"/>
        <v>-20.5</v>
      </c>
      <c r="R10" s="34">
        <f t="shared" si="8"/>
        <v>-21.5</v>
      </c>
      <c r="S10" s="34">
        <f t="shared" si="8"/>
        <v>-22.5</v>
      </c>
      <c r="T10" s="34">
        <f t="shared" si="8"/>
        <v>-23.5</v>
      </c>
      <c r="U10" s="35">
        <f t="shared" si="8"/>
        <v>-24.5</v>
      </c>
      <c r="V10" s="32"/>
      <c r="W10" s="32"/>
    </row>
    <row r="11" spans="2:23" x14ac:dyDescent="0.45">
      <c r="B11" s="26" t="s">
        <v>40</v>
      </c>
      <c r="C11" s="28">
        <f t="shared" si="5"/>
        <v>0.01</v>
      </c>
      <c r="D11" s="28">
        <f t="shared" si="1"/>
        <v>0.10485760000000002</v>
      </c>
      <c r="E11" s="28">
        <f t="shared" si="2"/>
        <v>0.14198569999999999</v>
      </c>
      <c r="F11" s="28">
        <f t="shared" si="6"/>
        <v>0.01</v>
      </c>
      <c r="G11" s="33"/>
      <c r="H11" s="34"/>
      <c r="I11" s="34"/>
      <c r="J11" s="34"/>
      <c r="K11" s="34"/>
      <c r="L11" s="34">
        <f>F11*L4*100</f>
        <v>30</v>
      </c>
      <c r="M11" s="34">
        <f>$F$11*(M4-(M3-$L$3))*100</f>
        <v>25</v>
      </c>
      <c r="N11" s="34">
        <f>$F$11*(N4-(N3-$L$3))*100</f>
        <v>20</v>
      </c>
      <c r="O11" s="34">
        <f t="shared" ref="O11:U11" si="9">$F$11*(O4-(O3-$L$3))*100</f>
        <v>-10</v>
      </c>
      <c r="P11" s="34">
        <f t="shared" si="9"/>
        <v>-13</v>
      </c>
      <c r="Q11" s="34">
        <f t="shared" si="9"/>
        <v>-15.5</v>
      </c>
      <c r="R11" s="34">
        <f t="shared" si="9"/>
        <v>-16.5</v>
      </c>
      <c r="S11" s="34">
        <f t="shared" si="9"/>
        <v>-17.5</v>
      </c>
      <c r="T11" s="34">
        <f t="shared" si="9"/>
        <v>-18.5</v>
      </c>
      <c r="U11" s="35">
        <f t="shared" si="9"/>
        <v>-19.5</v>
      </c>
      <c r="V11" s="32"/>
      <c r="W11" s="32"/>
    </row>
    <row r="12" spans="2:23" x14ac:dyDescent="0.45">
      <c r="B12" s="26" t="s">
        <v>41</v>
      </c>
      <c r="C12" s="28">
        <f t="shared" si="5"/>
        <v>0.01</v>
      </c>
      <c r="D12" s="28">
        <f t="shared" si="1"/>
        <v>0.16777216000000006</v>
      </c>
      <c r="E12" s="28">
        <f t="shared" si="2"/>
        <v>0.24137568999999998</v>
      </c>
      <c r="F12" s="28">
        <v>0.01</v>
      </c>
      <c r="G12" s="33"/>
      <c r="H12" s="34"/>
      <c r="I12" s="34"/>
      <c r="J12" s="34"/>
      <c r="K12" s="34"/>
      <c r="L12" s="34"/>
      <c r="M12" s="34">
        <f>F12*M4*100</f>
        <v>30</v>
      </c>
      <c r="N12" s="34">
        <f>$F$12*(N4-(N3-$M$3))*100</f>
        <v>25</v>
      </c>
      <c r="O12" s="34">
        <f>$F$12*(O4-(O3-$M$3))*100</f>
        <v>-5</v>
      </c>
      <c r="P12" s="34">
        <f t="shared" ref="P12:U12" si="10">$F$12*(P4-(P3-$M$3))*100</f>
        <v>-8</v>
      </c>
      <c r="Q12" s="34">
        <f t="shared" si="10"/>
        <v>-10.5</v>
      </c>
      <c r="R12" s="34">
        <f t="shared" si="10"/>
        <v>-11.5</v>
      </c>
      <c r="S12" s="34">
        <f t="shared" si="10"/>
        <v>-12.5</v>
      </c>
      <c r="T12" s="34">
        <f t="shared" si="10"/>
        <v>-13.5</v>
      </c>
      <c r="U12" s="35">
        <f t="shared" si="10"/>
        <v>-14.499999999999998</v>
      </c>
      <c r="V12" s="32"/>
      <c r="W12" s="32"/>
    </row>
    <row r="13" spans="2:23" x14ac:dyDescent="0.45">
      <c r="B13" s="26" t="s">
        <v>42</v>
      </c>
      <c r="C13" s="28">
        <f t="shared" si="5"/>
        <v>0.01</v>
      </c>
      <c r="D13" s="28">
        <f t="shared" si="1"/>
        <v>0.26843545600000013</v>
      </c>
      <c r="E13" s="28">
        <f t="shared" si="2"/>
        <v>0.41033867299999993</v>
      </c>
      <c r="F13" s="28">
        <f t="shared" si="6"/>
        <v>0.01</v>
      </c>
      <c r="G13" s="33"/>
      <c r="H13" s="34"/>
      <c r="I13" s="34"/>
      <c r="J13" s="34"/>
      <c r="K13" s="34"/>
      <c r="L13" s="34"/>
      <c r="M13" s="34"/>
      <c r="N13" s="34">
        <f>F13*N4*100</f>
        <v>30</v>
      </c>
      <c r="O13" s="34">
        <f>$F$13*(O4-(O3-$N$3))*100</f>
        <v>0</v>
      </c>
      <c r="P13" s="34">
        <f>$F$13*(P4-(P3-$N$3))*100</f>
        <v>-3</v>
      </c>
      <c r="Q13" s="34">
        <f t="shared" ref="Q13:U13" si="11">$F$13*(Q4-(Q3-$N$3))*100</f>
        <v>-5.5</v>
      </c>
      <c r="R13" s="34">
        <f t="shared" si="11"/>
        <v>-6.5</v>
      </c>
      <c r="S13" s="34">
        <f t="shared" si="11"/>
        <v>-7.5</v>
      </c>
      <c r="T13" s="34">
        <f t="shared" si="11"/>
        <v>-8.5</v>
      </c>
      <c r="U13" s="35">
        <f t="shared" si="11"/>
        <v>-9.5</v>
      </c>
      <c r="V13" s="32"/>
      <c r="W13" s="32"/>
    </row>
    <row r="14" spans="2:23" x14ac:dyDescent="0.45">
      <c r="B14" s="26" t="s">
        <v>43</v>
      </c>
      <c r="C14" s="28">
        <f t="shared" si="5"/>
        <v>0.01</v>
      </c>
      <c r="D14" s="28">
        <f t="shared" si="1"/>
        <v>0.42949672960000024</v>
      </c>
      <c r="E14" s="28">
        <f t="shared" si="2"/>
        <v>0.69757574409999989</v>
      </c>
      <c r="F14" s="28">
        <v>0.43</v>
      </c>
      <c r="G14" s="33"/>
      <c r="H14" s="34"/>
      <c r="I14" s="34"/>
      <c r="J14" s="34"/>
      <c r="K14" s="34"/>
      <c r="L14" s="34"/>
      <c r="M14" s="34"/>
      <c r="N14" s="34"/>
      <c r="O14" s="34">
        <f>F14*O4*100</f>
        <v>129</v>
      </c>
      <c r="P14" s="34">
        <f>$F$14*(P4-(P3-$O$3))*100</f>
        <v>0</v>
      </c>
      <c r="Q14" s="34">
        <f>$F$14*(Q4-(Q3-$O$3))*100</f>
        <v>-107.5</v>
      </c>
      <c r="R14" s="34">
        <f t="shared" ref="R14:U14" si="12">$F$14*(R4-(R3-$O$3))*100</f>
        <v>-150.5</v>
      </c>
      <c r="S14" s="34">
        <f t="shared" si="12"/>
        <v>-193.5</v>
      </c>
      <c r="T14" s="34">
        <f t="shared" si="12"/>
        <v>-236.49999999999997</v>
      </c>
      <c r="U14" s="35">
        <f t="shared" si="12"/>
        <v>-279.5</v>
      </c>
      <c r="V14" s="32"/>
      <c r="W14" s="32"/>
    </row>
    <row r="15" spans="2:23" ht="14.1" customHeight="1" x14ac:dyDescent="0.45">
      <c r="B15" s="26" t="s">
        <v>44</v>
      </c>
      <c r="C15" s="28">
        <f t="shared" si="5"/>
        <v>0.01</v>
      </c>
      <c r="D15" s="28">
        <f t="shared" si="1"/>
        <v>0.6871947673600004</v>
      </c>
      <c r="E15" s="28">
        <f t="shared" si="2"/>
        <v>1.1858787649699998</v>
      </c>
      <c r="F15" s="28">
        <v>0.69</v>
      </c>
      <c r="G15" s="33"/>
      <c r="H15" s="34"/>
      <c r="I15" s="34"/>
      <c r="J15" s="34"/>
      <c r="K15" s="34"/>
      <c r="L15" s="34"/>
      <c r="M15" s="34"/>
      <c r="N15" s="34"/>
      <c r="O15" s="34"/>
      <c r="P15" s="34">
        <f>F15*P4*100</f>
        <v>206.99999999999997</v>
      </c>
      <c r="Q15" s="34">
        <f>$F$15*(Q4-(Q3-$P$3))*100</f>
        <v>34.5</v>
      </c>
      <c r="R15" s="34">
        <f>$F$15*(R4-(R3-$P$3))*100</f>
        <v>-34.5</v>
      </c>
      <c r="S15" s="34">
        <f t="shared" ref="S15:U15" si="13">$F$15*(S4-(S3-$P$3))*100</f>
        <v>-103.49999999999999</v>
      </c>
      <c r="T15" s="34">
        <f t="shared" si="13"/>
        <v>-172.5</v>
      </c>
      <c r="U15" s="35">
        <f t="shared" si="13"/>
        <v>-241.5</v>
      </c>
      <c r="V15" s="32"/>
      <c r="W15" s="32"/>
    </row>
    <row r="16" spans="2:23" x14ac:dyDescent="0.45">
      <c r="B16" s="26" t="s">
        <v>45</v>
      </c>
      <c r="C16" s="28">
        <f t="shared" si="5"/>
        <v>0.01</v>
      </c>
      <c r="D16" s="28">
        <f t="shared" si="1"/>
        <v>1.0995116277760006</v>
      </c>
      <c r="E16" s="28">
        <f t="shared" si="2"/>
        <v>2.0159939004489997</v>
      </c>
      <c r="F16" s="28">
        <v>1.1000000000000001</v>
      </c>
      <c r="G16" s="33"/>
      <c r="H16" s="34"/>
      <c r="I16" s="34"/>
      <c r="J16" s="34"/>
      <c r="K16" s="34"/>
      <c r="L16" s="34"/>
      <c r="M16" s="34"/>
      <c r="N16" s="34"/>
      <c r="O16" s="34"/>
      <c r="P16" s="34"/>
      <c r="Q16" s="34">
        <f>F16*Q4*100</f>
        <v>165</v>
      </c>
      <c r="R16" s="34">
        <f>$F$16*(R4-(R3-$Q$3))*100</f>
        <v>55.000000000000007</v>
      </c>
      <c r="S16" s="34">
        <f>$F$16*(S4-(S3-$Q$3))*100</f>
        <v>-55.000000000000007</v>
      </c>
      <c r="T16" s="34">
        <f t="shared" ref="T16:U16" si="14">$F$16*(T4-(T3-$Q$3))*100</f>
        <v>-165</v>
      </c>
      <c r="U16" s="35">
        <f t="shared" si="14"/>
        <v>-275</v>
      </c>
      <c r="V16" s="32"/>
      <c r="W16" s="32"/>
    </row>
    <row r="17" spans="2:23" x14ac:dyDescent="0.45">
      <c r="B17" s="26" t="s">
        <v>46</v>
      </c>
      <c r="C17" s="28">
        <f t="shared" si="5"/>
        <v>0.01</v>
      </c>
      <c r="D17" s="28">
        <f t="shared" si="1"/>
        <v>1.7592186044416012</v>
      </c>
      <c r="E17" s="28">
        <f t="shared" si="2"/>
        <v>3.4271896307632996</v>
      </c>
      <c r="F17" s="28">
        <v>1.76</v>
      </c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>
        <f>F17*R4*100</f>
        <v>264</v>
      </c>
      <c r="S17" s="34">
        <f>$F$17*(S4-(S3-$R$3))*100</f>
        <v>88</v>
      </c>
      <c r="T17" s="34">
        <f>$F$17*(T4-(T3-$R$3))*100</f>
        <v>-88</v>
      </c>
      <c r="U17" s="35">
        <f t="shared" ref="U17" si="15">$F$17*(U4-(U3-$R$3))*100</f>
        <v>-264</v>
      </c>
      <c r="V17" s="32"/>
      <c r="W17" s="32"/>
    </row>
    <row r="18" spans="2:23" x14ac:dyDescent="0.45">
      <c r="B18" s="26" t="s">
        <v>47</v>
      </c>
      <c r="C18" s="28">
        <f t="shared" si="5"/>
        <v>0.01</v>
      </c>
      <c r="D18" s="28">
        <f t="shared" si="1"/>
        <v>2.8147497671065622</v>
      </c>
      <c r="E18" s="28">
        <f t="shared" si="2"/>
        <v>5.8262223722976092</v>
      </c>
      <c r="F18" s="28">
        <v>5.83</v>
      </c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f>F18*S4*100</f>
        <v>874.50000000000011</v>
      </c>
      <c r="T18" s="34">
        <f>$F$18*(T4-(T3-$S$3))*100</f>
        <v>291.5</v>
      </c>
      <c r="U18" s="35">
        <f>$F$18*(U4-(U3-$S$3))*100</f>
        <v>-291.5</v>
      </c>
      <c r="V18" s="32"/>
      <c r="W18" s="32"/>
    </row>
    <row r="19" spans="2:23" x14ac:dyDescent="0.45">
      <c r="B19" s="26" t="s">
        <v>48</v>
      </c>
      <c r="C19" s="28">
        <f t="shared" si="5"/>
        <v>0.01</v>
      </c>
      <c r="D19" s="28">
        <f t="shared" si="1"/>
        <v>4.5035996273704999</v>
      </c>
      <c r="E19" s="28">
        <f t="shared" si="2"/>
        <v>9.9045780329059347</v>
      </c>
      <c r="F19" s="28">
        <v>9.9</v>
      </c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>
        <f>F19*T4*100</f>
        <v>1485.0000000000002</v>
      </c>
      <c r="U19" s="35">
        <f>$F$19*(U4-(U3-$T$3))*100</f>
        <v>495</v>
      </c>
      <c r="V19" s="32"/>
      <c r="W19" s="32"/>
    </row>
    <row r="20" spans="2:23" ht="14.4" thickBot="1" x14ac:dyDescent="0.5">
      <c r="B20" s="26" t="s">
        <v>49</v>
      </c>
      <c r="C20" s="28">
        <f t="shared" si="5"/>
        <v>0.01</v>
      </c>
      <c r="D20" s="28">
        <f t="shared" si="1"/>
        <v>7.2057594037928006</v>
      </c>
      <c r="E20" s="28">
        <f t="shared" si="2"/>
        <v>16.837782655940089</v>
      </c>
      <c r="F20" s="28">
        <v>16.84</v>
      </c>
      <c r="G20" s="36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8">
        <f>F20*U4*100</f>
        <v>2526</v>
      </c>
      <c r="V20" s="32"/>
      <c r="W20" s="32"/>
    </row>
    <row r="21" spans="2:23" ht="14.4" thickBot="1" x14ac:dyDescent="0.5">
      <c r="B21" s="26" t="s">
        <v>50</v>
      </c>
      <c r="F21" s="40" t="s">
        <v>72</v>
      </c>
      <c r="G21" s="41">
        <f>SUM(G6:G20)</f>
        <v>30</v>
      </c>
      <c r="H21" s="41">
        <f t="shared" ref="H21:U21" si="16">SUM(H6:H20)</f>
        <v>55</v>
      </c>
      <c r="I21" s="41">
        <f t="shared" si="16"/>
        <v>75</v>
      </c>
      <c r="J21" s="41">
        <f t="shared" si="16"/>
        <v>90</v>
      </c>
      <c r="K21" s="41">
        <f t="shared" si="16"/>
        <v>100</v>
      </c>
      <c r="L21" s="41">
        <f t="shared" si="16"/>
        <v>105</v>
      </c>
      <c r="M21" s="41">
        <f t="shared" si="16"/>
        <v>105</v>
      </c>
      <c r="N21" s="41">
        <f t="shared" si="16"/>
        <v>100</v>
      </c>
      <c r="O21" s="41">
        <f t="shared" si="16"/>
        <v>-11</v>
      </c>
      <c r="P21" s="41">
        <f t="shared" si="16"/>
        <v>42.999999999999972</v>
      </c>
      <c r="Q21" s="41">
        <f t="shared" si="16"/>
        <v>-92</v>
      </c>
      <c r="R21" s="41">
        <f t="shared" si="16"/>
        <v>-58</v>
      </c>
      <c r="S21" s="41">
        <f t="shared" si="16"/>
        <v>410.50000000000011</v>
      </c>
      <c r="T21" s="41">
        <f t="shared" si="16"/>
        <v>906.50000000000023</v>
      </c>
      <c r="U21" s="42">
        <f t="shared" si="16"/>
        <v>1453.5</v>
      </c>
      <c r="V21" s="32"/>
      <c r="W21" s="32"/>
    </row>
    <row r="22" spans="2:23" ht="14.4" thickBot="1" x14ac:dyDescent="0.5">
      <c r="B22" s="26" t="s">
        <v>61</v>
      </c>
      <c r="F22" s="40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2:23" ht="14.4" thickBot="1" x14ac:dyDescent="0.5">
      <c r="B23" s="26" t="s">
        <v>62</v>
      </c>
      <c r="F23" s="40"/>
      <c r="G23" s="32"/>
    </row>
    <row r="24" spans="2:23" ht="14.4" thickBot="1" x14ac:dyDescent="0.5">
      <c r="B24" s="26" t="s">
        <v>63</v>
      </c>
      <c r="F24" s="40">
        <f>SUM(F6:F20)</f>
        <v>36.629999999999995</v>
      </c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2:23" ht="14.4" thickBot="1" x14ac:dyDescent="0.5">
      <c r="B25" s="26" t="s">
        <v>64</v>
      </c>
      <c r="F25" s="40"/>
      <c r="G25" s="32"/>
    </row>
    <row r="26" spans="2:23" ht="14.4" thickBot="1" x14ac:dyDescent="0.5">
      <c r="B26" s="26" t="s">
        <v>65</v>
      </c>
      <c r="F26" s="40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2:23" ht="14.4" thickBot="1" x14ac:dyDescent="0.5">
      <c r="B27" s="26" t="s">
        <v>66</v>
      </c>
      <c r="F27" s="40"/>
    </row>
    <row r="28" spans="2:23" ht="14.4" thickBot="1" x14ac:dyDescent="0.5">
      <c r="B28" s="26" t="s">
        <v>67</v>
      </c>
      <c r="F28" s="40"/>
    </row>
    <row r="29" spans="2:23" ht="14.4" thickBot="1" x14ac:dyDescent="0.5">
      <c r="B29" s="26" t="s">
        <v>68</v>
      </c>
      <c r="F29" s="40"/>
    </row>
    <row r="30" spans="2:23" x14ac:dyDescent="0.45">
      <c r="B30" s="26" t="s">
        <v>69</v>
      </c>
    </row>
    <row r="31" spans="2:23" x14ac:dyDescent="0.45">
      <c r="B31" s="26" t="s">
        <v>70</v>
      </c>
    </row>
    <row r="32" spans="2:23" x14ac:dyDescent="0.45">
      <c r="B32" s="26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G24:V24"/>
    <mergeCell ref="B1:D1"/>
    <mergeCell ref="B2:D2"/>
    <mergeCell ref="B3:D3"/>
    <mergeCell ref="B4:D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Input L30</vt:lpstr>
      <vt:lpstr>Tính TP thay đổi hệ số, quãng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2024-03-27T03:39:18Z</dcterms:modified>
</cp:coreProperties>
</file>