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D:\01_Projects\ScanBinance\bsc_scan_binance\src\main\resources\MQL5\"/>
    </mc:Choice>
  </mc:AlternateContent>
  <xr:revisionPtr revIDLastSave="0" documentId="13_ncr:1_{5CB2614B-380A-4734-AC18-939D126F9488}" xr6:coauthVersionLast="47" xr6:coauthVersionMax="47" xr10:uidLastSave="{00000000-0000-0000-0000-000000000000}"/>
  <bookViews>
    <workbookView xWindow="5724" yWindow="0" windowWidth="32100" windowHeight="16680" xr2:uid="{00000000-000D-0000-FFFF-FFFF00000000}"/>
  </bookViews>
  <sheets>
    <sheet name="Bảng Input L30" sheetId="2" r:id="rId1"/>
    <sheet name="Sheet1" sheetId="8" r:id="rId2"/>
    <sheet name="Tính TP thay đổi hệ số, quãng" sheetId="7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4" i="2" l="1"/>
  <c r="L35" i="2"/>
  <c r="L36" i="2"/>
  <c r="L37" i="2"/>
  <c r="I34" i="2"/>
  <c r="J35" i="2"/>
  <c r="J34" i="2"/>
  <c r="K36" i="2"/>
  <c r="K35" i="2"/>
  <c r="K34" i="2"/>
  <c r="M11" i="2"/>
  <c r="Y7" i="2"/>
  <c r="Z7" i="2" s="1"/>
  <c r="Y8" i="2"/>
  <c r="H4" i="2"/>
  <c r="AA7" i="2" l="1"/>
  <c r="Z8" i="2"/>
  <c r="I50" i="2"/>
  <c r="J7" i="2"/>
  <c r="K7" i="2" s="1"/>
  <c r="AB7" i="2" l="1"/>
  <c r="AA8" i="2"/>
  <c r="J8" i="2"/>
  <c r="K8" i="2"/>
  <c r="L7" i="2"/>
  <c r="D3" i="2"/>
  <c r="D4" i="2" s="1"/>
  <c r="D5" i="2" s="1"/>
  <c r="D6" i="2" s="1"/>
  <c r="D7" i="2" s="1"/>
  <c r="F13" i="7"/>
  <c r="F7" i="7"/>
  <c r="F8" i="7" s="1"/>
  <c r="F9" i="7" s="1"/>
  <c r="F10" i="7" s="1"/>
  <c r="F11" i="7" s="1"/>
  <c r="D6" i="7"/>
  <c r="E6" i="7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C7" i="7"/>
  <c r="C8" i="7" s="1"/>
  <c r="H3" i="7"/>
  <c r="C5" i="7"/>
  <c r="AB8" i="2" l="1"/>
  <c r="AC7" i="2"/>
  <c r="L8" i="2"/>
  <c r="M7" i="2"/>
  <c r="E5" i="7"/>
  <c r="D5" i="7"/>
  <c r="C9" i="7"/>
  <c r="C10" i="7" s="1"/>
  <c r="C11" i="7" s="1"/>
  <c r="C12" i="7" s="1"/>
  <c r="C13" i="7" s="1"/>
  <c r="C14" i="7" s="1"/>
  <c r="C15" i="7" s="1"/>
  <c r="C16" i="7" s="1"/>
  <c r="C17" i="7" s="1"/>
  <c r="C18" i="7" s="1"/>
  <c r="C19" i="7" s="1"/>
  <c r="C20" i="7" s="1"/>
  <c r="H6" i="7"/>
  <c r="J3" i="7"/>
  <c r="K3" i="7"/>
  <c r="L3" i="7"/>
  <c r="L6" i="7" s="1"/>
  <c r="M3" i="7"/>
  <c r="N3" i="7"/>
  <c r="O3" i="7"/>
  <c r="P3" i="7"/>
  <c r="P6" i="7" s="1"/>
  <c r="Q3" i="7"/>
  <c r="R3" i="7"/>
  <c r="S3" i="7"/>
  <c r="T3" i="7"/>
  <c r="T6" i="7" s="1"/>
  <c r="U3" i="7"/>
  <c r="I3" i="7"/>
  <c r="G6" i="7"/>
  <c r="G21" i="7" s="1"/>
  <c r="B13" i="2"/>
  <c r="H34" i="2" s="1"/>
  <c r="H35" i="2" l="1"/>
  <c r="J51" i="2"/>
  <c r="I51" i="2"/>
  <c r="AD7" i="2"/>
  <c r="AC8" i="2"/>
  <c r="H11" i="2"/>
  <c r="N7" i="2"/>
  <c r="M8" i="2"/>
  <c r="L11" i="7"/>
  <c r="F24" i="7"/>
  <c r="R8" i="7"/>
  <c r="K7" i="7"/>
  <c r="I8" i="7"/>
  <c r="J7" i="7"/>
  <c r="R7" i="7"/>
  <c r="N7" i="7"/>
  <c r="J8" i="7"/>
  <c r="N8" i="7"/>
  <c r="U7" i="7"/>
  <c r="Q7" i="7"/>
  <c r="M7" i="7"/>
  <c r="U8" i="7"/>
  <c r="Q8" i="7"/>
  <c r="M8" i="7"/>
  <c r="T7" i="7"/>
  <c r="P7" i="7"/>
  <c r="L7" i="7"/>
  <c r="T8" i="7"/>
  <c r="P8" i="7"/>
  <c r="L8" i="7"/>
  <c r="S7" i="7"/>
  <c r="O7" i="7"/>
  <c r="S8" i="7"/>
  <c r="O8" i="7"/>
  <c r="K8" i="7"/>
  <c r="H7" i="7"/>
  <c r="H21" i="7" s="1"/>
  <c r="I7" i="7"/>
  <c r="I6" i="7"/>
  <c r="U6" i="7"/>
  <c r="Q6" i="7"/>
  <c r="M6" i="7"/>
  <c r="S6" i="7"/>
  <c r="O6" i="7"/>
  <c r="K6" i="7"/>
  <c r="R6" i="7"/>
  <c r="N6" i="7"/>
  <c r="J6" i="7"/>
  <c r="D7" i="7"/>
  <c r="A13" i="2"/>
  <c r="A14" i="2" s="1"/>
  <c r="N11" i="2" l="1"/>
  <c r="T34" i="2"/>
  <c r="P34" i="2"/>
  <c r="U34" i="2"/>
  <c r="S34" i="2"/>
  <c r="R34" i="2"/>
  <c r="W34" i="2"/>
  <c r="Q34" i="2"/>
  <c r="N34" i="2"/>
  <c r="M34" i="2"/>
  <c r="X34" i="2"/>
  <c r="V34" i="2"/>
  <c r="O34" i="2"/>
  <c r="H36" i="2"/>
  <c r="K51" i="2"/>
  <c r="I28" i="2"/>
  <c r="AD8" i="2"/>
  <c r="AE7" i="2"/>
  <c r="R11" i="2"/>
  <c r="I11" i="2"/>
  <c r="I27" i="2" s="1"/>
  <c r="U11" i="2"/>
  <c r="S11" i="2"/>
  <c r="O11" i="2"/>
  <c r="J11" i="2"/>
  <c r="T11" i="2"/>
  <c r="H12" i="2"/>
  <c r="P11" i="2"/>
  <c r="Q11" i="2"/>
  <c r="K11" i="2"/>
  <c r="L11" i="2"/>
  <c r="W11" i="2"/>
  <c r="X11" i="2"/>
  <c r="V11" i="2"/>
  <c r="O7" i="2"/>
  <c r="N8" i="2"/>
  <c r="I21" i="7"/>
  <c r="D8" i="7"/>
  <c r="A15" i="2"/>
  <c r="D14" i="2"/>
  <c r="B14" i="2"/>
  <c r="D13" i="2"/>
  <c r="C13" i="2" s="1"/>
  <c r="H37" i="2" l="1"/>
  <c r="K50" i="2"/>
  <c r="AE8" i="2"/>
  <c r="AF7" i="2"/>
  <c r="R12" i="2"/>
  <c r="T35" i="2"/>
  <c r="O35" i="2"/>
  <c r="W35" i="2"/>
  <c r="S35" i="2"/>
  <c r="R35" i="2"/>
  <c r="X35" i="2"/>
  <c r="Q35" i="2"/>
  <c r="P35" i="2"/>
  <c r="M35" i="2"/>
  <c r="V35" i="2"/>
  <c r="N35" i="2"/>
  <c r="U35" i="2"/>
  <c r="X12" i="2"/>
  <c r="L12" i="2"/>
  <c r="M12" i="2"/>
  <c r="Q12" i="2"/>
  <c r="P12" i="2"/>
  <c r="W12" i="2"/>
  <c r="S12" i="2"/>
  <c r="O12" i="2"/>
  <c r="K12" i="2"/>
  <c r="T12" i="2"/>
  <c r="H13" i="2"/>
  <c r="V12" i="2"/>
  <c r="U12" i="2"/>
  <c r="N12" i="2"/>
  <c r="J28" i="2"/>
  <c r="J12" i="2"/>
  <c r="J27" i="2" s="1"/>
  <c r="O8" i="2"/>
  <c r="P7" i="2"/>
  <c r="J9" i="7"/>
  <c r="J21" i="7" s="1"/>
  <c r="M9" i="7"/>
  <c r="Q9" i="7"/>
  <c r="U9" i="7"/>
  <c r="L9" i="7"/>
  <c r="T9" i="7"/>
  <c r="N9" i="7"/>
  <c r="R9" i="7"/>
  <c r="K9" i="7"/>
  <c r="O9" i="7"/>
  <c r="S9" i="7"/>
  <c r="P9" i="7"/>
  <c r="D9" i="7"/>
  <c r="A16" i="2"/>
  <c r="D15" i="2"/>
  <c r="B15" i="2"/>
  <c r="C14" i="2"/>
  <c r="L50" i="2" l="1"/>
  <c r="H38" i="2"/>
  <c r="M37" i="2"/>
  <c r="L51" i="2"/>
  <c r="AG7" i="2"/>
  <c r="AG8" i="2" s="1"/>
  <c r="AF8" i="2"/>
  <c r="K28" i="2"/>
  <c r="T36" i="2"/>
  <c r="S36" i="2"/>
  <c r="O36" i="2"/>
  <c r="R36" i="2"/>
  <c r="P36" i="2"/>
  <c r="Q36" i="2"/>
  <c r="X36" i="2"/>
  <c r="V36" i="2"/>
  <c r="U36" i="2"/>
  <c r="M36" i="2"/>
  <c r="N36" i="2"/>
  <c r="W36" i="2"/>
  <c r="N13" i="2"/>
  <c r="V13" i="2"/>
  <c r="U13" i="2"/>
  <c r="M13" i="2"/>
  <c r="W13" i="2"/>
  <c r="R13" i="2"/>
  <c r="S13" i="2"/>
  <c r="O13" i="2"/>
  <c r="K13" i="2"/>
  <c r="K27" i="2" s="1"/>
  <c r="Q13" i="2"/>
  <c r="X13" i="2"/>
  <c r="T13" i="2"/>
  <c r="P13" i="2"/>
  <c r="H14" i="2"/>
  <c r="L13" i="2"/>
  <c r="P8" i="2"/>
  <c r="Q7" i="2"/>
  <c r="K10" i="7"/>
  <c r="K21" i="7" s="1"/>
  <c r="P10" i="7"/>
  <c r="T10" i="7"/>
  <c r="N10" i="7"/>
  <c r="L10" i="7"/>
  <c r="O10" i="7"/>
  <c r="M10" i="7"/>
  <c r="Q10" i="7"/>
  <c r="U10" i="7"/>
  <c r="R10" i="7"/>
  <c r="S10" i="7"/>
  <c r="D10" i="7"/>
  <c r="C15" i="2"/>
  <c r="A17" i="2"/>
  <c r="D16" i="2"/>
  <c r="B16" i="2"/>
  <c r="M38" i="2" l="1"/>
  <c r="M50" i="2" s="1"/>
  <c r="H39" i="2"/>
  <c r="N38" i="2"/>
  <c r="N51" i="2"/>
  <c r="M51" i="2"/>
  <c r="T14" i="2"/>
  <c r="U37" i="2"/>
  <c r="S37" i="2"/>
  <c r="Q37" i="2"/>
  <c r="T37" i="2"/>
  <c r="W37" i="2"/>
  <c r="V37" i="2"/>
  <c r="R37" i="2"/>
  <c r="X37" i="2"/>
  <c r="P37" i="2"/>
  <c r="N37" i="2"/>
  <c r="O37" i="2"/>
  <c r="S14" i="2"/>
  <c r="V14" i="2"/>
  <c r="O14" i="2"/>
  <c r="L28" i="2"/>
  <c r="H15" i="2"/>
  <c r="N15" i="2" s="1"/>
  <c r="W14" i="2"/>
  <c r="U14" i="2"/>
  <c r="L14" i="2"/>
  <c r="L27" i="2" s="1"/>
  <c r="X14" i="2"/>
  <c r="R14" i="2"/>
  <c r="N14" i="2"/>
  <c r="Q14" i="2"/>
  <c r="P14" i="2"/>
  <c r="M14" i="2"/>
  <c r="Q8" i="2"/>
  <c r="R7" i="2"/>
  <c r="H16" i="2"/>
  <c r="R15" i="2"/>
  <c r="Q15" i="2"/>
  <c r="L21" i="7"/>
  <c r="N11" i="7"/>
  <c r="R11" i="7"/>
  <c r="M11" i="7"/>
  <c r="P11" i="7"/>
  <c r="Q11" i="7"/>
  <c r="O11" i="7"/>
  <c r="S11" i="7"/>
  <c r="T11" i="7"/>
  <c r="U11" i="7"/>
  <c r="D11" i="7"/>
  <c r="A18" i="2"/>
  <c r="D17" i="2"/>
  <c r="B17" i="2"/>
  <c r="C16" i="2"/>
  <c r="O39" i="2" l="1"/>
  <c r="N39" i="2"/>
  <c r="H40" i="2"/>
  <c r="N50" i="2"/>
  <c r="N28" i="2"/>
  <c r="P39" i="2"/>
  <c r="Q39" i="2"/>
  <c r="X39" i="2"/>
  <c r="W39" i="2"/>
  <c r="V39" i="2"/>
  <c r="U39" i="2"/>
  <c r="T39" i="2"/>
  <c r="S39" i="2"/>
  <c r="R39" i="2"/>
  <c r="V15" i="2"/>
  <c r="W38" i="2"/>
  <c r="X38" i="2"/>
  <c r="V38" i="2"/>
  <c r="U38" i="2"/>
  <c r="O38" i="2"/>
  <c r="T38" i="2"/>
  <c r="P38" i="2"/>
  <c r="S38" i="2"/>
  <c r="R38" i="2"/>
  <c r="Q38" i="2"/>
  <c r="M28" i="2"/>
  <c r="U15" i="2"/>
  <c r="X15" i="2"/>
  <c r="M15" i="2"/>
  <c r="M27" i="2" s="1"/>
  <c r="T15" i="2"/>
  <c r="O15" i="2"/>
  <c r="P15" i="2"/>
  <c r="S15" i="2"/>
  <c r="W15" i="2"/>
  <c r="S7" i="2"/>
  <c r="R8" i="2"/>
  <c r="P16" i="2"/>
  <c r="T16" i="2"/>
  <c r="X16" i="2"/>
  <c r="U16" i="2"/>
  <c r="Q16" i="2"/>
  <c r="H17" i="2"/>
  <c r="S16" i="2"/>
  <c r="N16" i="2"/>
  <c r="N27" i="2" s="1"/>
  <c r="V16" i="2"/>
  <c r="O16" i="2"/>
  <c r="W16" i="2"/>
  <c r="R16" i="2"/>
  <c r="M12" i="7"/>
  <c r="M21" i="7" s="1"/>
  <c r="O12" i="7"/>
  <c r="S12" i="7"/>
  <c r="Q12" i="7"/>
  <c r="P12" i="7"/>
  <c r="T12" i="7"/>
  <c r="U12" i="7"/>
  <c r="R12" i="7"/>
  <c r="N12" i="7"/>
  <c r="D12" i="7"/>
  <c r="C17" i="2"/>
  <c r="A19" i="2"/>
  <c r="D18" i="2"/>
  <c r="B18" i="2"/>
  <c r="O51" i="2" l="1"/>
  <c r="O40" i="2"/>
  <c r="O50" i="2" s="1"/>
  <c r="H41" i="2"/>
  <c r="P40" i="2"/>
  <c r="P51" i="2"/>
  <c r="R40" i="2"/>
  <c r="V40" i="2"/>
  <c r="Q40" i="2"/>
  <c r="W40" i="2"/>
  <c r="U40" i="2"/>
  <c r="S40" i="2"/>
  <c r="X40" i="2"/>
  <c r="T40" i="2"/>
  <c r="S8" i="2"/>
  <c r="T7" i="2"/>
  <c r="Q17" i="2"/>
  <c r="U17" i="2"/>
  <c r="H18" i="2"/>
  <c r="R17" i="2"/>
  <c r="V17" i="2"/>
  <c r="P17" i="2"/>
  <c r="X17" i="2"/>
  <c r="O17" i="2"/>
  <c r="O27" i="2" s="1"/>
  <c r="S17" i="2"/>
  <c r="T17" i="2"/>
  <c r="W17" i="2"/>
  <c r="O28" i="2"/>
  <c r="N13" i="7"/>
  <c r="N21" i="7" s="1"/>
  <c r="S13" i="7"/>
  <c r="Q13" i="7"/>
  <c r="O13" i="7"/>
  <c r="P13" i="7"/>
  <c r="T13" i="7"/>
  <c r="U13" i="7"/>
  <c r="R13" i="7"/>
  <c r="D13" i="7"/>
  <c r="A20" i="2"/>
  <c r="D19" i="2"/>
  <c r="B19" i="2"/>
  <c r="C18" i="2"/>
  <c r="Q41" i="2" l="1"/>
  <c r="P41" i="2"/>
  <c r="P50" i="2" s="1"/>
  <c r="H42" i="2"/>
  <c r="Q51" i="2"/>
  <c r="W41" i="2"/>
  <c r="V41" i="2"/>
  <c r="U41" i="2"/>
  <c r="T41" i="2"/>
  <c r="S41" i="2"/>
  <c r="R41" i="2"/>
  <c r="X41" i="2"/>
  <c r="T8" i="2"/>
  <c r="U7" i="2"/>
  <c r="S18" i="2"/>
  <c r="W18" i="2"/>
  <c r="P18" i="2"/>
  <c r="P27" i="2" s="1"/>
  <c r="T18" i="2"/>
  <c r="X18" i="2"/>
  <c r="V18" i="2"/>
  <c r="R18" i="2"/>
  <c r="Q18" i="2"/>
  <c r="H19" i="2"/>
  <c r="U18" i="2"/>
  <c r="P28" i="2"/>
  <c r="O14" i="7"/>
  <c r="O21" i="7" s="1"/>
  <c r="R14" i="7"/>
  <c r="P14" i="7"/>
  <c r="Q14" i="7"/>
  <c r="U14" i="7"/>
  <c r="S14" i="7"/>
  <c r="T14" i="7"/>
  <c r="D14" i="7"/>
  <c r="C19" i="2"/>
  <c r="A21" i="2"/>
  <c r="D20" i="2"/>
  <c r="B20" i="2"/>
  <c r="Q42" i="2" l="1"/>
  <c r="Q50" i="2" s="1"/>
  <c r="R42" i="2"/>
  <c r="H43" i="2"/>
  <c r="R51" i="2"/>
  <c r="V42" i="2"/>
  <c r="U42" i="2"/>
  <c r="X42" i="2"/>
  <c r="S42" i="2"/>
  <c r="W42" i="2"/>
  <c r="T42" i="2"/>
  <c r="V7" i="2"/>
  <c r="U8" i="2"/>
  <c r="R19" i="2"/>
  <c r="V19" i="2"/>
  <c r="S19" i="2"/>
  <c r="W19" i="2"/>
  <c r="U19" i="2"/>
  <c r="H20" i="2"/>
  <c r="X19" i="2"/>
  <c r="T19" i="2"/>
  <c r="Q19" i="2"/>
  <c r="Q27" i="2" s="1"/>
  <c r="Q28" i="2"/>
  <c r="P15" i="7"/>
  <c r="P21" i="7" s="1"/>
  <c r="T15" i="7"/>
  <c r="Q15" i="7"/>
  <c r="S15" i="7"/>
  <c r="U15" i="7"/>
  <c r="R15" i="7"/>
  <c r="D15" i="7"/>
  <c r="C20" i="2"/>
  <c r="A22" i="2"/>
  <c r="D21" i="2"/>
  <c r="B21" i="2"/>
  <c r="S43" i="2" l="1"/>
  <c r="R43" i="2"/>
  <c r="R50" i="2" s="1"/>
  <c r="H44" i="2"/>
  <c r="S51" i="2"/>
  <c r="X43" i="2"/>
  <c r="W43" i="2"/>
  <c r="V43" i="2"/>
  <c r="U43" i="2"/>
  <c r="T43" i="2"/>
  <c r="W7" i="2"/>
  <c r="V8" i="2"/>
  <c r="R20" i="2"/>
  <c r="R27" i="2" s="1"/>
  <c r="V20" i="2"/>
  <c r="S20" i="2"/>
  <c r="W20" i="2"/>
  <c r="U20" i="2"/>
  <c r="T20" i="2"/>
  <c r="X20" i="2"/>
  <c r="H21" i="2"/>
  <c r="R28" i="2"/>
  <c r="Q16" i="7"/>
  <c r="Q21" i="7" s="1"/>
  <c r="U16" i="7"/>
  <c r="T16" i="7"/>
  <c r="R16" i="7"/>
  <c r="S16" i="7"/>
  <c r="D16" i="7"/>
  <c r="C21" i="2"/>
  <c r="A23" i="2"/>
  <c r="D22" i="2"/>
  <c r="B22" i="2"/>
  <c r="H45" i="2" l="1"/>
  <c r="S44" i="2"/>
  <c r="S50" i="2" s="1"/>
  <c r="T44" i="2"/>
  <c r="U44" i="2"/>
  <c r="X44" i="2"/>
  <c r="V44" i="2"/>
  <c r="W44" i="2"/>
  <c r="X7" i="2"/>
  <c r="X8" i="2" s="1"/>
  <c r="W8" i="2"/>
  <c r="S21" i="2"/>
  <c r="S27" i="2" s="1"/>
  <c r="W21" i="2"/>
  <c r="T21" i="2"/>
  <c r="X21" i="2"/>
  <c r="V21" i="2"/>
  <c r="H22" i="2"/>
  <c r="U21" i="2"/>
  <c r="S28" i="2"/>
  <c r="R17" i="7"/>
  <c r="R21" i="7" s="1"/>
  <c r="U17" i="7"/>
  <c r="S17" i="7"/>
  <c r="T17" i="7"/>
  <c r="D17" i="7"/>
  <c r="C22" i="2"/>
  <c r="A24" i="2"/>
  <c r="D24" i="2" s="1"/>
  <c r="D23" i="2"/>
  <c r="B23" i="2"/>
  <c r="T45" i="2" l="1"/>
  <c r="T50" i="2" s="1"/>
  <c r="H46" i="2"/>
  <c r="U45" i="2"/>
  <c r="U51" i="2"/>
  <c r="T51" i="2"/>
  <c r="V45" i="2"/>
  <c r="X45" i="2"/>
  <c r="W45" i="2"/>
  <c r="U22" i="2"/>
  <c r="H23" i="2"/>
  <c r="V22" i="2"/>
  <c r="X22" i="2"/>
  <c r="W22" i="2"/>
  <c r="T22" i="2"/>
  <c r="T27" i="2" s="1"/>
  <c r="T28" i="2"/>
  <c r="S18" i="7"/>
  <c r="S21" i="7" s="1"/>
  <c r="U18" i="7"/>
  <c r="T18" i="7"/>
  <c r="D18" i="7"/>
  <c r="C23" i="2"/>
  <c r="A25" i="2"/>
  <c r="D25" i="2" s="1"/>
  <c r="B24" i="2"/>
  <c r="H47" i="2" l="1"/>
  <c r="V46" i="2"/>
  <c r="U46" i="2"/>
  <c r="U50" i="2" s="1"/>
  <c r="X46" i="2"/>
  <c r="W46" i="2"/>
  <c r="X23" i="2"/>
  <c r="H24" i="2"/>
  <c r="X47" i="2" s="1"/>
  <c r="U23" i="2"/>
  <c r="U27" i="2" s="1"/>
  <c r="W23" i="2"/>
  <c r="V23" i="2"/>
  <c r="U28" i="2"/>
  <c r="T19" i="7"/>
  <c r="T21" i="7" s="1"/>
  <c r="U19" i="7"/>
  <c r="D19" i="7"/>
  <c r="U20" i="7"/>
  <c r="C24" i="2"/>
  <c r="A26" i="2"/>
  <c r="D26" i="2" s="1"/>
  <c r="B25" i="2"/>
  <c r="V47" i="2" l="1"/>
  <c r="V50" i="2" s="1"/>
  <c r="H48" i="2"/>
  <c r="W47" i="2"/>
  <c r="X48" i="2"/>
  <c r="V51" i="2"/>
  <c r="X24" i="2"/>
  <c r="H25" i="2"/>
  <c r="W24" i="2"/>
  <c r="V24" i="2"/>
  <c r="V27" i="2" s="1"/>
  <c r="X25" i="2"/>
  <c r="V28" i="2"/>
  <c r="U21" i="7"/>
  <c r="D20" i="7"/>
  <c r="C25" i="2"/>
  <c r="A27" i="2"/>
  <c r="D27" i="2" s="1"/>
  <c r="B26" i="2"/>
  <c r="H49" i="2" l="1"/>
  <c r="X49" i="2" s="1"/>
  <c r="X50" i="2" s="1"/>
  <c r="W48" i="2"/>
  <c r="W50" i="2" s="1"/>
  <c r="W51" i="2"/>
  <c r="X51" i="2"/>
  <c r="H50" i="2"/>
  <c r="H26" i="2"/>
  <c r="H27" i="2" s="1"/>
  <c r="W25" i="2"/>
  <c r="W27" i="2" s="1"/>
  <c r="W28" i="2"/>
  <c r="C26" i="2"/>
  <c r="A28" i="2"/>
  <c r="D28" i="2" s="1"/>
  <c r="B27" i="2"/>
  <c r="X26" i="2" l="1"/>
  <c r="X27" i="2" s="1"/>
  <c r="X28" i="2"/>
  <c r="C27" i="2"/>
  <c r="A29" i="2"/>
  <c r="D29" i="2" s="1"/>
  <c r="B28" i="2"/>
  <c r="C28" i="2" s="1"/>
  <c r="A30" i="2" l="1"/>
  <c r="D30" i="2" s="1"/>
  <c r="B29" i="2"/>
  <c r="C29" i="2" l="1"/>
  <c r="A31" i="2"/>
  <c r="D31" i="2" s="1"/>
  <c r="B30" i="2"/>
  <c r="C30" i="2" s="1"/>
  <c r="A32" i="2" l="1"/>
  <c r="D32" i="2" s="1"/>
  <c r="B31" i="2"/>
  <c r="C31" i="2" l="1"/>
  <c r="A33" i="2"/>
  <c r="D33" i="2" s="1"/>
  <c r="B32" i="2"/>
  <c r="C32" i="2" l="1"/>
  <c r="A34" i="2"/>
  <c r="D34" i="2" s="1"/>
  <c r="B33" i="2"/>
  <c r="C33" i="2" l="1"/>
  <c r="A35" i="2"/>
  <c r="D35" i="2" s="1"/>
  <c r="B34" i="2"/>
  <c r="C34" i="2" l="1"/>
  <c r="A36" i="2"/>
  <c r="D36" i="2" s="1"/>
  <c r="B35" i="2"/>
  <c r="C35" i="2" l="1"/>
  <c r="A37" i="2"/>
  <c r="D37" i="2" s="1"/>
  <c r="B36" i="2"/>
  <c r="C36" i="2" l="1"/>
  <c r="A38" i="2"/>
  <c r="D38" i="2" s="1"/>
  <c r="B37" i="2"/>
  <c r="C37" i="2" l="1"/>
  <c r="A39" i="2"/>
  <c r="D39" i="2" s="1"/>
  <c r="B38" i="2"/>
  <c r="C38" i="2" s="1"/>
  <c r="A40" i="2" l="1"/>
  <c r="D40" i="2" s="1"/>
  <c r="B39" i="2"/>
  <c r="C39" i="2" l="1"/>
  <c r="A41" i="2"/>
  <c r="D41" i="2" s="1"/>
  <c r="B40" i="2"/>
  <c r="C40" i="2" l="1"/>
  <c r="A42" i="2"/>
  <c r="D42" i="2" s="1"/>
  <c r="B41" i="2"/>
  <c r="C41" i="2" l="1"/>
  <c r="A43" i="2"/>
  <c r="B42" i="2"/>
  <c r="C42" i="2" l="1"/>
  <c r="D43" i="2"/>
  <c r="D44" i="2" s="1"/>
  <c r="B43" i="2"/>
  <c r="J3" i="2" s="1"/>
  <c r="L3" i="2" s="1"/>
  <c r="C43" i="2" l="1"/>
  <c r="C44" i="2" s="1"/>
  <c r="N3" i="2" s="1"/>
  <c r="J50" i="2"/>
</calcChain>
</file>

<file path=xl/sharedStrings.xml><?xml version="1.0" encoding="utf-8"?>
<sst xmlns="http://schemas.openxmlformats.org/spreadsheetml/2006/main" count="153" uniqueCount="105">
  <si>
    <t>THÔNG TIN ĐẦU VÀO</t>
  </si>
  <si>
    <t>Quãng giá L1-L2</t>
  </si>
  <si>
    <t>Quãng giá L2-L3</t>
  </si>
  <si>
    <t>Quãng giá L3-L4</t>
  </si>
  <si>
    <t>Quãng giá L4-L5</t>
  </si>
  <si>
    <t>Quãng giá L5-L6</t>
  </si>
  <si>
    <t>Quãng giá L6 trở đi</t>
  </si>
  <si>
    <t>Hệ số lot</t>
  </si>
  <si>
    <t>SỐ L</t>
  </si>
  <si>
    <t>K.LƯỢNG</t>
  </si>
  <si>
    <t>SỐ TIỀN $</t>
  </si>
  <si>
    <t>GIÁ ĐI</t>
  </si>
  <si>
    <t>TỔNG CỘNG:</t>
  </si>
  <si>
    <t>BẢNG TÍNH TP THEO QUÃNG VÀ HỆ SỐ</t>
  </si>
  <si>
    <t>Hệ số nhân</t>
  </si>
  <si>
    <t>Quãng giá</t>
  </si>
  <si>
    <t>TP</t>
  </si>
  <si>
    <t>DCA</t>
  </si>
  <si>
    <t>Vol</t>
  </si>
  <si>
    <t>TP L1</t>
  </si>
  <si>
    <t>TP L2</t>
  </si>
  <si>
    <t>TP L3</t>
  </si>
  <si>
    <t>TP L4</t>
  </si>
  <si>
    <t>TP L5</t>
  </si>
  <si>
    <t>TP L6</t>
  </si>
  <si>
    <t>TP L7</t>
  </si>
  <si>
    <t>TP L8</t>
  </si>
  <si>
    <t>TP L9</t>
  </si>
  <si>
    <t>TP L10</t>
  </si>
  <si>
    <t>TP L11</t>
  </si>
  <si>
    <t>TP L12</t>
  </si>
  <si>
    <t>TP L13</t>
  </si>
  <si>
    <t>TP L14</t>
  </si>
  <si>
    <t>TP L15</t>
  </si>
  <si>
    <t>TP L16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</si>
  <si>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</si>
  <si>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</si>
  <si>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</si>
  <si>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</si>
  <si>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</si>
  <si>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</si>
  <si>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</si>
  <si>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</si>
  <si>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</si>
  <si>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</si>
  <si>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</si>
  <si>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</si>
  <si>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</si>
  <si>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</si>
  <si>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</si>
  <si>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</si>
  <si>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Total</t>
  </si>
  <si>
    <t>Tổng lot</t>
  </si>
  <si>
    <t>Ký quỹ</t>
  </si>
  <si>
    <t>Tổng vốn cần có</t>
  </si>
  <si>
    <t xml:space="preserve">Hệ số </t>
  </si>
  <si>
    <t>Giá</t>
  </si>
  <si>
    <t>Hệ số</t>
  </si>
  <si>
    <t>Điền hệ số nhân</t>
  </si>
  <si>
    <t>Điền quãng giá</t>
  </si>
  <si>
    <t>Điền TP</t>
  </si>
  <si>
    <t>L17</t>
  </si>
  <si>
    <t>L18</t>
  </si>
  <si>
    <t>L19</t>
  </si>
  <si>
    <t>L20</t>
  </si>
  <si>
    <t>L21</t>
  </si>
  <si>
    <t>L22</t>
  </si>
  <si>
    <t>L23</t>
  </si>
  <si>
    <t>L24</t>
  </si>
  <si>
    <t>L25</t>
  </si>
  <si>
    <t>L26</t>
  </si>
  <si>
    <t>L27</t>
  </si>
  <si>
    <t>.</t>
  </si>
  <si>
    <t>L</t>
    <phoneticPr fontId="8"/>
  </si>
  <si>
    <t>Price</t>
    <phoneticPr fontId="8"/>
  </si>
  <si>
    <t>Quãng giá dca</t>
    <phoneticPr fontId="8"/>
  </si>
  <si>
    <t>is_allow_trend_shift</t>
    <phoneticPr fontId="8"/>
  </si>
  <si>
    <t>iStochastic</t>
    <phoneticPr fontId="8"/>
  </si>
  <si>
    <r>
      <t>Không ki</t>
    </r>
    <r>
      <rPr>
        <sz val="11"/>
        <color theme="1"/>
        <rFont val="Calibri"/>
        <family val="2"/>
        <charset val="163"/>
      </rPr>
      <t>ể</t>
    </r>
    <r>
      <rPr>
        <sz val="11"/>
        <color theme="1"/>
        <rFont val="游ゴシック"/>
        <family val="2"/>
        <scheme val="minor"/>
      </rPr>
      <t>m tra</t>
    </r>
    <phoneticPr fontId="8"/>
  </si>
  <si>
    <t>12h</t>
    <phoneticPr fontId="8"/>
  </si>
  <si>
    <t>1h</t>
    <phoneticPr fontId="8"/>
  </si>
  <si>
    <t>109k</t>
    <phoneticPr fontId="8"/>
  </si>
  <si>
    <t>115k</t>
    <phoneticPr fontId="8"/>
  </si>
  <si>
    <t>144k</t>
    <phoneticPr fontId="8"/>
  </si>
  <si>
    <t>110k</t>
    <phoneticPr fontId="8"/>
  </si>
  <si>
    <t>4h</t>
    <phoneticPr fontId="8"/>
  </si>
  <si>
    <t>iStochastic + 1h</t>
    <phoneticPr fontId="8"/>
  </si>
  <si>
    <t>103k</t>
    <phoneticPr fontId="8"/>
  </si>
  <si>
    <t>iStochastic + 4h</t>
    <phoneticPr fontId="8"/>
  </si>
  <si>
    <t>106k</t>
    <phoneticPr fontId="8"/>
  </si>
  <si>
    <t>iStochastic + 8h</t>
    <phoneticPr fontId="8"/>
  </si>
  <si>
    <t>101k</t>
    <phoneticPr fontId="8"/>
  </si>
  <si>
    <r>
      <t>Ch</t>
    </r>
    <r>
      <rPr>
        <sz val="11"/>
        <color theme="1"/>
        <rFont val="Calibri"/>
        <family val="2"/>
        <charset val="163"/>
      </rPr>
      <t>ố</t>
    </r>
    <r>
      <rPr>
        <sz val="11"/>
        <color theme="1"/>
        <rFont val="游ゴシック"/>
        <family val="2"/>
        <scheme val="minor"/>
      </rPr>
      <t>t:</t>
    </r>
    <phoneticPr fontId="8"/>
  </si>
  <si>
    <t>TP</t>
    <phoneticPr fontId="8"/>
  </si>
  <si>
    <t>TP L17</t>
  </si>
  <si>
    <t>TP L18</t>
  </si>
  <si>
    <t>TP L19</t>
  </si>
  <si>
    <t>TP L20</t>
  </si>
  <si>
    <t>TP L21</t>
  </si>
  <si>
    <t>TP L22</t>
  </si>
  <si>
    <t>TP L23</t>
  </si>
  <si>
    <t>TP L24</t>
  </si>
  <si>
    <t>TP L25</t>
  </si>
  <si>
    <t>Khối lượng ban đầu</t>
    <phoneticPr fontId="8"/>
  </si>
  <si>
    <t>Số Lệnh đánh</t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</si>
</sst>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76" formatCode="_(* #,##0.00_);_(* \(#,##0.00\);_(* &quot;-&quot;??_);_(@_)"/>
    <numFmt numFmtId="177" formatCode="_(* #,##0.0_);_(* \(#,##0.0\);_(* &quot;-&quot;??_);_(@_)"/>
    <numFmt numFmtId="179" formatCode="_(* #,##0_);_(* \(#,##0\);_(* &quot;-&quot;??_);_(@_)"/>
    <numFmt numFmtId="180" formatCode="0;\-0;;\ @"/>
    <numFmt numFmtId="181" formatCode="0.00;\-0.00;;\ @"/>
    <numFmt numFmtId="182" formatCode="#,##0.000"/>
    <numFmt numFmtId="183" formatCode="#,##0.0"/>
    <numFmt numFmtId="184" formatCode="#,##0.000_);\(#,##0.000\)"/>
  </numFmts>
  <fonts count="28" x14ac:knownFonts="1">
    <font>
      <sz val="11"/>
      <color theme="1"/>
      <name val="游ゴシック"/>
      <family val="2"/>
      <scheme val="minor"/>
    </font>
    <font>
      <sz val="11"/>
      <color theme="1"/>
      <name val="游ゴシック"/>
      <family val="2"/>
      <scheme val="minor"/>
    </font>
    <font>
      <sz val="10"/>
      <color rgb="FF000000"/>
      <name val="游ゴシック"/>
      <family val="3"/>
      <charset val="128"/>
      <scheme val="minor"/>
    </font>
    <font>
      <sz val="10"/>
      <color theme="1"/>
      <name val="Arial"/>
      <family val="2"/>
    </font>
    <font>
      <sz val="11"/>
      <color rgb="FF006100"/>
      <name val="游ゴシック"/>
      <family val="2"/>
      <scheme val="minor"/>
    </font>
    <font>
      <sz val="11"/>
      <color rgb="FF9C0006"/>
      <name val="游ゴシック"/>
      <family val="2"/>
      <scheme val="minor"/>
    </font>
    <font>
      <sz val="11"/>
      <color rgb="FF3F3F76"/>
      <name val="游ゴシック"/>
      <family val="2"/>
      <scheme val="minor"/>
    </font>
    <font>
      <sz val="8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0"/>
      <color rgb="FF000000"/>
      <name val="Arial"/>
      <family val="2"/>
    </font>
    <font>
      <sz val="13"/>
      <color theme="1"/>
      <name val="Arial"/>
      <family val="2"/>
    </font>
    <font>
      <sz val="11"/>
      <color theme="1"/>
      <name val="Arial"/>
      <family val="2"/>
    </font>
    <font>
      <sz val="11"/>
      <color rgb="FFFF0000"/>
      <name val="Arial"/>
      <family val="2"/>
    </font>
    <font>
      <sz val="13"/>
      <color rgb="FFFF0000"/>
      <name val="Arial"/>
      <family val="2"/>
    </font>
    <font>
      <sz val="13"/>
      <color rgb="FF002060"/>
      <name val="Arial"/>
      <family val="2"/>
    </font>
    <font>
      <sz val="13"/>
      <color rgb="FFC00000"/>
      <name val="Arial"/>
      <family val="2"/>
    </font>
    <font>
      <i/>
      <u/>
      <sz val="11"/>
      <color theme="1"/>
      <name val="Arial"/>
      <family val="2"/>
    </font>
    <font>
      <i/>
      <sz val="20"/>
      <color rgb="FFFF0000"/>
      <name val="Arial"/>
      <family val="2"/>
    </font>
    <font>
      <i/>
      <sz val="11"/>
      <color theme="1"/>
      <name val="Arial"/>
      <family val="2"/>
    </font>
    <font>
      <sz val="15"/>
      <color theme="1"/>
      <name val="Arial"/>
      <family val="2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20"/>
      <color theme="1"/>
      <name val="Arial"/>
      <family val="2"/>
    </font>
    <font>
      <i/>
      <sz val="16"/>
      <color rgb="FFFF0000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3F3F76"/>
      <name val="Arial"/>
      <family val="2"/>
    </font>
    <font>
      <sz val="11"/>
      <color theme="1"/>
      <name val="Calibri"/>
      <family val="2"/>
      <charset val="163"/>
    </font>
  </fonts>
  <fills count="2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7F9EF"/>
        <bgColor rgb="FFE7F9EF"/>
      </patternFill>
    </fill>
    <fill>
      <patternFill patternType="solid">
        <fgColor theme="6"/>
        <bgColor rgb="FFFFFF00"/>
      </patternFill>
    </fill>
    <fill>
      <patternFill patternType="solid">
        <fgColor rgb="FF00B050"/>
        <bgColor rgb="FFFFFF00"/>
      </patternFill>
    </fill>
    <fill>
      <patternFill patternType="solid">
        <fgColor rgb="FFE8E7FC"/>
        <bgColor rgb="FFE8E7FC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rgb="FFE7F9EF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double">
        <color auto="1"/>
      </right>
      <top/>
      <bottom style="hair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1" fillId="0" borderId="0"/>
    <xf numFmtId="0" fontId="2" fillId="0" borderId="0"/>
    <xf numFmtId="176" fontId="1" fillId="0" borderId="0" applyFont="0" applyFill="0" applyBorder="0" applyAlignment="0" applyProtection="0"/>
    <xf numFmtId="0" fontId="4" fillId="8" borderId="0" applyNumberFormat="0" applyBorder="0" applyAlignment="0" applyProtection="0"/>
    <xf numFmtId="0" fontId="5" fillId="9" borderId="0" applyNumberFormat="0" applyBorder="0" applyAlignment="0" applyProtection="0"/>
    <xf numFmtId="0" fontId="6" fillId="10" borderId="14" applyNumberFormat="0" applyAlignment="0" applyProtection="0"/>
  </cellStyleXfs>
  <cellXfs count="91">
    <xf numFmtId="0" fontId="0" fillId="0" borderId="0" xfId="0"/>
    <xf numFmtId="0" fontId="3" fillId="0" borderId="0" xfId="2" applyFont="1"/>
    <xf numFmtId="0" fontId="3" fillId="0" borderId="0" xfId="2" applyFont="1" applyAlignment="1">
      <alignment horizontal="right"/>
    </xf>
    <xf numFmtId="3" fontId="3" fillId="0" borderId="13" xfId="2" applyNumberFormat="1" applyFont="1" applyBorder="1"/>
    <xf numFmtId="182" fontId="3" fillId="0" borderId="13" xfId="2" applyNumberFormat="1" applyFont="1" applyBorder="1"/>
    <xf numFmtId="0" fontId="9" fillId="0" borderId="0" xfId="2" applyFont="1"/>
    <xf numFmtId="180" fontId="10" fillId="3" borderId="0" xfId="1" applyNumberFormat="1" applyFont="1" applyFill="1"/>
    <xf numFmtId="181" fontId="10" fillId="3" borderId="0" xfId="1" applyNumberFormat="1" applyFont="1" applyFill="1"/>
    <xf numFmtId="181" fontId="10" fillId="0" borderId="7" xfId="1" applyNumberFormat="1" applyFont="1" applyBorder="1"/>
    <xf numFmtId="180" fontId="10" fillId="0" borderId="8" xfId="1" applyNumberFormat="1" applyFont="1" applyBorder="1"/>
    <xf numFmtId="181" fontId="10" fillId="0" borderId="2" xfId="1" applyNumberFormat="1" applyFont="1" applyBorder="1"/>
    <xf numFmtId="180" fontId="9" fillId="0" borderId="0" xfId="2" applyNumberFormat="1" applyFont="1"/>
    <xf numFmtId="181" fontId="9" fillId="0" borderId="0" xfId="2" applyNumberFormat="1" applyFont="1"/>
    <xf numFmtId="0" fontId="11" fillId="0" borderId="0" xfId="0" applyFont="1" applyAlignment="1">
      <alignment horizontal="center" vertical="center"/>
    </xf>
    <xf numFmtId="4" fontId="11" fillId="11" borderId="0" xfId="0" applyNumberFormat="1" applyFont="1" applyFill="1" applyAlignment="1">
      <alignment horizontal="center" vertical="center"/>
    </xf>
    <xf numFmtId="0" fontId="12" fillId="11" borderId="0" xfId="0" applyFont="1" applyFill="1" applyAlignment="1">
      <alignment horizontal="center" vertical="center"/>
    </xf>
    <xf numFmtId="4" fontId="11" fillId="16" borderId="13" xfId="0" applyNumberFormat="1" applyFont="1" applyFill="1" applyBorder="1" applyAlignment="1">
      <alignment horizontal="center" vertical="center"/>
    </xf>
    <xf numFmtId="0" fontId="11" fillId="16" borderId="13" xfId="0" applyFont="1" applyFill="1" applyBorder="1" applyAlignment="1">
      <alignment horizontal="center" vertical="center"/>
    </xf>
    <xf numFmtId="0" fontId="12" fillId="16" borderId="13" xfId="0" applyFont="1" applyFill="1" applyBorder="1" applyAlignment="1">
      <alignment horizontal="center" vertical="center"/>
    </xf>
    <xf numFmtId="4" fontId="11" fillId="14" borderId="13" xfId="0" applyNumberFormat="1" applyFont="1" applyFill="1" applyBorder="1" applyAlignment="1">
      <alignment horizontal="center" vertical="center"/>
    </xf>
    <xf numFmtId="0" fontId="11" fillId="14" borderId="13" xfId="0" applyFont="1" applyFill="1" applyBorder="1" applyAlignment="1">
      <alignment horizontal="center" vertical="center"/>
    </xf>
    <xf numFmtId="4" fontId="11" fillId="12" borderId="16" xfId="0" applyNumberFormat="1" applyFont="1" applyFill="1" applyBorder="1" applyAlignment="1">
      <alignment horizontal="center" vertical="center"/>
    </xf>
    <xf numFmtId="0" fontId="12" fillId="12" borderId="16" xfId="0" applyFont="1" applyFill="1" applyBorder="1" applyAlignment="1">
      <alignment horizontal="center" vertical="center"/>
    </xf>
    <xf numFmtId="183" fontId="11" fillId="0" borderId="13" xfId="0" applyNumberFormat="1" applyFont="1" applyBorder="1" applyAlignment="1">
      <alignment horizontal="center" vertical="center"/>
    </xf>
    <xf numFmtId="4" fontId="11" fillId="13" borderId="29" xfId="0" applyNumberFormat="1" applyFont="1" applyFill="1" applyBorder="1" applyAlignment="1">
      <alignment horizontal="center" vertical="center"/>
    </xf>
    <xf numFmtId="0" fontId="11" fillId="17" borderId="15" xfId="0" applyFont="1" applyFill="1" applyBorder="1" applyAlignment="1">
      <alignment horizontal="center" vertical="center"/>
    </xf>
    <xf numFmtId="0" fontId="11" fillId="15" borderId="13" xfId="0" applyFont="1" applyFill="1" applyBorder="1" applyAlignment="1">
      <alignment horizontal="center" vertical="center"/>
    </xf>
    <xf numFmtId="4" fontId="12" fillId="0" borderId="13" xfId="0" applyNumberFormat="1" applyFont="1" applyBorder="1" applyAlignment="1">
      <alignment horizontal="center" vertical="center"/>
    </xf>
    <xf numFmtId="4" fontId="11" fillId="0" borderId="13" xfId="0" applyNumberFormat="1" applyFont="1" applyBorder="1" applyAlignment="1">
      <alignment horizontal="center" vertical="center"/>
    </xf>
    <xf numFmtId="3" fontId="11" fillId="0" borderId="20" xfId="0" applyNumberFormat="1" applyFont="1" applyBorder="1" applyAlignment="1">
      <alignment horizontal="center" vertical="center"/>
    </xf>
    <xf numFmtId="3" fontId="11" fillId="0" borderId="21" xfId="0" applyNumberFormat="1" applyFont="1" applyBorder="1" applyAlignment="1">
      <alignment horizontal="center" vertical="center"/>
    </xf>
    <xf numFmtId="3" fontId="11" fillId="0" borderId="22" xfId="0" applyNumberFormat="1" applyFont="1" applyBorder="1" applyAlignment="1">
      <alignment horizontal="center" vertical="center"/>
    </xf>
    <xf numFmtId="3" fontId="11" fillId="0" borderId="0" xfId="0" applyNumberFormat="1" applyFont="1" applyAlignment="1">
      <alignment horizontal="center" vertical="center"/>
    </xf>
    <xf numFmtId="3" fontId="11" fillId="0" borderId="23" xfId="0" applyNumberFormat="1" applyFont="1" applyBorder="1" applyAlignment="1">
      <alignment horizontal="center" vertical="center"/>
    </xf>
    <xf numFmtId="3" fontId="11" fillId="0" borderId="24" xfId="0" applyNumberFormat="1" applyFont="1" applyBorder="1" applyAlignment="1">
      <alignment horizontal="center" vertical="center"/>
    </xf>
    <xf numFmtId="3" fontId="11" fillId="0" borderId="25" xfId="0" applyNumberFormat="1" applyFont="1" applyBorder="1" applyAlignment="1">
      <alignment horizontal="center" vertical="center"/>
    </xf>
    <xf numFmtId="3" fontId="11" fillId="0" borderId="26" xfId="0" applyNumberFormat="1" applyFont="1" applyBorder="1" applyAlignment="1">
      <alignment horizontal="center" vertical="center"/>
    </xf>
    <xf numFmtId="3" fontId="11" fillId="0" borderId="27" xfId="0" applyNumberFormat="1" applyFont="1" applyBorder="1" applyAlignment="1">
      <alignment horizontal="center" vertical="center"/>
    </xf>
    <xf numFmtId="3" fontId="11" fillId="0" borderId="28" xfId="0" applyNumberFormat="1" applyFont="1" applyBorder="1" applyAlignment="1">
      <alignment horizontal="center" vertical="center"/>
    </xf>
    <xf numFmtId="4" fontId="11" fillId="0" borderId="0" xfId="0" applyNumberFormat="1" applyFont="1" applyAlignment="1">
      <alignment horizontal="center" vertical="center"/>
    </xf>
    <xf numFmtId="4" fontId="12" fillId="17" borderId="29" xfId="0" applyNumberFormat="1" applyFont="1" applyFill="1" applyBorder="1" applyAlignment="1">
      <alignment horizontal="center" vertical="center"/>
    </xf>
    <xf numFmtId="3" fontId="11" fillId="0" borderId="17" xfId="0" applyNumberFormat="1" applyFont="1" applyBorder="1" applyAlignment="1">
      <alignment horizontal="center" vertical="center"/>
    </xf>
    <xf numFmtId="3" fontId="11" fillId="0" borderId="18" xfId="0" applyNumberFormat="1" applyFont="1" applyBorder="1" applyAlignment="1">
      <alignment horizontal="center" vertical="center"/>
    </xf>
    <xf numFmtId="0" fontId="11" fillId="0" borderId="0" xfId="2" applyFont="1"/>
    <xf numFmtId="180" fontId="13" fillId="2" borderId="3" xfId="1" applyNumberFormat="1" applyFont="1" applyFill="1" applyBorder="1" applyAlignment="1">
      <alignment horizontal="center" vertical="center"/>
    </xf>
    <xf numFmtId="181" fontId="13" fillId="2" borderId="4" xfId="1" applyNumberFormat="1" applyFont="1" applyFill="1" applyBorder="1" applyAlignment="1">
      <alignment horizontal="center" vertical="center"/>
    </xf>
    <xf numFmtId="180" fontId="13" fillId="2" borderId="5" xfId="1" applyNumberFormat="1" applyFont="1" applyFill="1" applyBorder="1" applyAlignment="1">
      <alignment horizontal="center" vertical="center"/>
    </xf>
    <xf numFmtId="180" fontId="10" fillId="0" borderId="6" xfId="1" applyNumberFormat="1" applyFont="1" applyBorder="1" applyAlignment="1">
      <alignment horizontal="center" vertical="center"/>
    </xf>
    <xf numFmtId="3" fontId="13" fillId="2" borderId="5" xfId="1" applyNumberFormat="1" applyFont="1" applyFill="1" applyBorder="1" applyAlignment="1">
      <alignment vertical="center"/>
    </xf>
    <xf numFmtId="180" fontId="13" fillId="2" borderId="5" xfId="1" applyNumberFormat="1" applyFont="1" applyFill="1" applyBorder="1" applyAlignment="1">
      <alignment vertical="center"/>
    </xf>
    <xf numFmtId="0" fontId="16" fillId="0" borderId="13" xfId="0" applyFont="1" applyBorder="1" applyAlignment="1">
      <alignment horizontal="center" vertical="center"/>
    </xf>
    <xf numFmtId="0" fontId="18" fillId="0" borderId="0" xfId="2" applyFont="1"/>
    <xf numFmtId="0" fontId="11" fillId="4" borderId="9" xfId="2" applyFont="1" applyFill="1" applyBorder="1" applyAlignment="1">
      <alignment horizontal="center"/>
    </xf>
    <xf numFmtId="0" fontId="19" fillId="6" borderId="11" xfId="2" applyFont="1" applyFill="1" applyBorder="1" applyAlignment="1">
      <alignment horizontal="center" vertical="center"/>
    </xf>
    <xf numFmtId="0" fontId="19" fillId="6" borderId="12" xfId="2" applyFont="1" applyFill="1" applyBorder="1" applyAlignment="1">
      <alignment horizontal="center" vertical="center"/>
    </xf>
    <xf numFmtId="0" fontId="20" fillId="4" borderId="13" xfId="2" applyFont="1" applyFill="1" applyBorder="1" applyAlignment="1">
      <alignment horizontal="center" vertical="center"/>
    </xf>
    <xf numFmtId="4" fontId="20" fillId="0" borderId="13" xfId="2" applyNumberFormat="1" applyFont="1" applyBorder="1" applyAlignment="1">
      <alignment horizontal="center"/>
    </xf>
    <xf numFmtId="3" fontId="20" fillId="0" borderId="13" xfId="2" applyNumberFormat="1" applyFont="1" applyBorder="1" applyAlignment="1">
      <alignment horizontal="right"/>
    </xf>
    <xf numFmtId="3" fontId="20" fillId="0" borderId="13" xfId="2" applyNumberFormat="1" applyFont="1" applyBorder="1"/>
    <xf numFmtId="0" fontId="20" fillId="18" borderId="13" xfId="2" applyFont="1" applyFill="1" applyBorder="1" applyAlignment="1">
      <alignment horizontal="center" vertical="center"/>
    </xf>
    <xf numFmtId="0" fontId="20" fillId="7" borderId="13" xfId="2" applyFont="1" applyFill="1" applyBorder="1" applyAlignment="1">
      <alignment horizontal="center"/>
    </xf>
    <xf numFmtId="4" fontId="20" fillId="6" borderId="13" xfId="2" applyNumberFormat="1" applyFont="1" applyFill="1" applyBorder="1" applyAlignment="1">
      <alignment horizontal="center"/>
    </xf>
    <xf numFmtId="0" fontId="20" fillId="0" borderId="13" xfId="2" applyFont="1" applyBorder="1" applyAlignment="1">
      <alignment horizontal="center"/>
    </xf>
    <xf numFmtId="3" fontId="21" fillId="0" borderId="13" xfId="2" applyNumberFormat="1" applyFont="1" applyBorder="1" applyAlignment="1">
      <alignment horizontal="right"/>
    </xf>
    <xf numFmtId="0" fontId="3" fillId="0" borderId="0" xfId="2" applyFont="1" applyAlignment="1">
      <alignment horizontal="center" vertical="center"/>
    </xf>
    <xf numFmtId="4" fontId="3" fillId="0" borderId="0" xfId="2" applyNumberFormat="1" applyFont="1"/>
    <xf numFmtId="0" fontId="17" fillId="0" borderId="0" xfId="2" applyFont="1" applyAlignment="1">
      <alignment vertical="center"/>
    </xf>
    <xf numFmtId="0" fontId="23" fillId="0" borderId="0" xfId="2" applyFont="1" applyAlignment="1">
      <alignment vertical="center"/>
    </xf>
    <xf numFmtId="4" fontId="20" fillId="20" borderId="13" xfId="2" applyNumberFormat="1" applyFont="1" applyFill="1" applyBorder="1" applyAlignment="1">
      <alignment horizontal="center" vertical="center"/>
    </xf>
    <xf numFmtId="4" fontId="24" fillId="8" borderId="13" xfId="4" applyNumberFormat="1" applyFont="1" applyBorder="1" applyAlignment="1">
      <alignment horizontal="center"/>
    </xf>
    <xf numFmtId="0" fontId="25" fillId="9" borderId="13" xfId="5" applyFont="1" applyBorder="1" applyAlignment="1">
      <alignment horizontal="center"/>
    </xf>
    <xf numFmtId="4" fontId="26" fillId="10" borderId="13" xfId="6" applyNumberFormat="1" applyFont="1" applyBorder="1" applyAlignment="1">
      <alignment horizontal="center"/>
    </xf>
    <xf numFmtId="0" fontId="22" fillId="0" borderId="13" xfId="1" applyFont="1" applyBorder="1" applyAlignment="1">
      <alignment horizontal="center"/>
    </xf>
    <xf numFmtId="4" fontId="13" fillId="2" borderId="3" xfId="1" applyNumberFormat="1" applyFont="1" applyFill="1" applyBorder="1" applyAlignment="1">
      <alignment horizontal="center" vertical="center"/>
    </xf>
    <xf numFmtId="4" fontId="13" fillId="2" borderId="4" xfId="1" applyNumberFormat="1" applyFont="1" applyFill="1" applyBorder="1" applyAlignment="1">
      <alignment horizontal="center" vertical="center"/>
    </xf>
    <xf numFmtId="0" fontId="13" fillId="2" borderId="1" xfId="1" applyFont="1" applyFill="1" applyBorder="1" applyAlignment="1">
      <alignment horizontal="center" vertical="center"/>
    </xf>
    <xf numFmtId="0" fontId="13" fillId="2" borderId="0" xfId="1" applyFont="1" applyFill="1" applyAlignment="1">
      <alignment horizontal="center" vertical="center"/>
    </xf>
    <xf numFmtId="3" fontId="11" fillId="0" borderId="0" xfId="0" applyNumberFormat="1" applyFont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11" fillId="0" borderId="19" xfId="0" applyFont="1" applyBorder="1" applyAlignment="1">
      <alignment horizontal="center" vertical="center"/>
    </xf>
    <xf numFmtId="0" fontId="11" fillId="0" borderId="30" xfId="0" applyFont="1" applyBorder="1" applyAlignment="1">
      <alignment horizontal="center" vertical="center"/>
    </xf>
    <xf numFmtId="0" fontId="11" fillId="0" borderId="31" xfId="0" applyFont="1" applyBorder="1" applyAlignment="1">
      <alignment horizontal="center" vertical="center"/>
    </xf>
    <xf numFmtId="184" fontId="19" fillId="5" borderId="10" xfId="2" applyNumberFormat="1" applyFont="1" applyFill="1" applyBorder="1" applyAlignment="1">
      <alignment horizontal="center" vertical="center"/>
    </xf>
    <xf numFmtId="177" fontId="15" fillId="19" borderId="13" xfId="3" applyNumberFormat="1" applyFont="1" applyFill="1" applyBorder="1" applyAlignment="1">
      <alignment vertical="center"/>
    </xf>
    <xf numFmtId="177" fontId="15" fillId="0" borderId="13" xfId="3" applyNumberFormat="1" applyFont="1" applyBorder="1" applyAlignment="1">
      <alignment vertical="center"/>
    </xf>
    <xf numFmtId="176" fontId="15" fillId="0" borderId="13" xfId="3" applyFont="1" applyBorder="1" applyAlignment="1">
      <alignment vertical="center"/>
    </xf>
    <xf numFmtId="184" fontId="15" fillId="2" borderId="13" xfId="3" applyNumberFormat="1" applyFont="1" applyFill="1" applyBorder="1" applyAlignment="1">
      <alignment vertical="center"/>
    </xf>
    <xf numFmtId="179" fontId="15" fillId="19" borderId="13" xfId="3" applyNumberFormat="1" applyFont="1" applyFill="1" applyBorder="1" applyAlignment="1">
      <alignment vertical="center"/>
    </xf>
    <xf numFmtId="0" fontId="14" fillId="0" borderId="33" xfId="1" applyFont="1" applyBorder="1" applyAlignment="1"/>
    <xf numFmtId="0" fontId="14" fillId="0" borderId="34" xfId="1" applyFont="1" applyBorder="1" applyAlignment="1"/>
    <xf numFmtId="180" fontId="9" fillId="0" borderId="32" xfId="2" applyNumberFormat="1" applyFont="1" applyBorder="1"/>
  </cellXfs>
  <cellStyles count="7">
    <cellStyle name="Bad" xfId="5" builtinId="27"/>
    <cellStyle name="Comma 2" xfId="3" xr:uid="{00000000-0005-0000-0000-000001000000}"/>
    <cellStyle name="Good" xfId="4" builtinId="26"/>
    <cellStyle name="Input" xfId="6" builtinId="20"/>
    <cellStyle name="Normal" xfId="0" builtinId="0"/>
    <cellStyle name="Normal 2" xfId="1" xr:uid="{00000000-0005-0000-0000-000005000000}"/>
    <cellStyle name="Normal 3" xfId="2" xr:uid="{00000000-0005-0000-0000-000006000000}"/>
  </cellStyles>
  <dxfs count="16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D5A9C3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</xdr:row>
      <xdr:rowOff>0</xdr:rowOff>
    </xdr:from>
    <xdr:to>
      <xdr:col>11</xdr:col>
      <xdr:colOff>238376</xdr:colOff>
      <xdr:row>53</xdr:row>
      <xdr:rowOff>169441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7CF6802-8B75-4C3A-97DA-4FFCA1A835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2353" y="5827059"/>
          <a:ext cx="6961905" cy="11590476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4</xdr:row>
      <xdr:rowOff>0</xdr:rowOff>
    </xdr:from>
    <xdr:to>
      <xdr:col>22</xdr:col>
      <xdr:colOff>257422</xdr:colOff>
      <xdr:row>53</xdr:row>
      <xdr:rowOff>188489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154B7A5-EEE1-644E-197F-39A4D4DD73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068235" y="5827059"/>
          <a:ext cx="6980952" cy="11609524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4</xdr:row>
      <xdr:rowOff>0</xdr:rowOff>
    </xdr:from>
    <xdr:to>
      <xdr:col>33</xdr:col>
      <xdr:colOff>257423</xdr:colOff>
      <xdr:row>53</xdr:row>
      <xdr:rowOff>159917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D13D575-0115-847D-E921-EFB3242E5A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464118" y="5827059"/>
          <a:ext cx="6980952" cy="11580952"/>
        </a:xfrm>
        <a:prstGeom prst="rect">
          <a:avLst/>
        </a:prstGeom>
      </xdr:spPr>
    </xdr:pic>
    <xdr:clientData/>
  </xdr:twoCellAnchor>
  <xdr:twoCellAnchor editAs="oneCell">
    <xdr:from>
      <xdr:col>34</xdr:col>
      <xdr:colOff>0</xdr:colOff>
      <xdr:row>4</xdr:row>
      <xdr:rowOff>0</xdr:rowOff>
    </xdr:from>
    <xdr:to>
      <xdr:col>44</xdr:col>
      <xdr:colOff>311723</xdr:colOff>
      <xdr:row>53</xdr:row>
      <xdr:rowOff>49640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FC598B6-6101-55B8-949C-603D39221B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2610618" y="5888182"/>
          <a:ext cx="6961905" cy="11590476"/>
        </a:xfrm>
        <a:prstGeom prst="rect">
          <a:avLst/>
        </a:prstGeom>
      </xdr:spPr>
    </xdr:pic>
    <xdr:clientData/>
  </xdr:twoCellAnchor>
  <xdr:twoCellAnchor editAs="oneCell">
    <xdr:from>
      <xdr:col>45</xdr:col>
      <xdr:colOff>0</xdr:colOff>
      <xdr:row>4</xdr:row>
      <xdr:rowOff>0</xdr:rowOff>
    </xdr:from>
    <xdr:to>
      <xdr:col>55</xdr:col>
      <xdr:colOff>311723</xdr:colOff>
      <xdr:row>51</xdr:row>
      <xdr:rowOff>149265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1CD6BDF8-AF47-0390-6FE5-953A4275A1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9925818" y="5888182"/>
          <a:ext cx="6961905" cy="1121904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57</xdr:row>
      <xdr:rowOff>0</xdr:rowOff>
    </xdr:from>
    <xdr:to>
      <xdr:col>11</xdr:col>
      <xdr:colOff>311723</xdr:colOff>
      <xdr:row>104</xdr:row>
      <xdr:rowOff>130219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42ABD512-DBBD-4DFF-9802-14ED3390AB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65018" y="18371127"/>
          <a:ext cx="6961905" cy="11200000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57</xdr:row>
      <xdr:rowOff>0</xdr:rowOff>
    </xdr:from>
    <xdr:to>
      <xdr:col>22</xdr:col>
      <xdr:colOff>321246</xdr:colOff>
      <xdr:row>104</xdr:row>
      <xdr:rowOff>139743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84A2230F-6A69-191E-FCE4-1918CFE18A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980218" y="18371127"/>
          <a:ext cx="6971428" cy="11209524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57</xdr:row>
      <xdr:rowOff>0</xdr:rowOff>
    </xdr:from>
    <xdr:to>
      <xdr:col>33</xdr:col>
      <xdr:colOff>330770</xdr:colOff>
      <xdr:row>105</xdr:row>
      <xdr:rowOff>218500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51E0037A-6D83-E4BA-7B8B-F3E530FAA0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5295418" y="18371127"/>
          <a:ext cx="6980952" cy="11523809"/>
        </a:xfrm>
        <a:prstGeom prst="rect">
          <a:avLst/>
        </a:prstGeom>
      </xdr:spPr>
    </xdr:pic>
    <xdr:clientData/>
  </xdr:twoCellAnchor>
  <xdr:twoCellAnchor editAs="oneCell">
    <xdr:from>
      <xdr:col>0</xdr:col>
      <xdr:colOff>665017</xdr:colOff>
      <xdr:row>108</xdr:row>
      <xdr:rowOff>0</xdr:rowOff>
    </xdr:from>
    <xdr:to>
      <xdr:col>33</xdr:col>
      <xdr:colOff>10472</xdr:colOff>
      <xdr:row>157</xdr:row>
      <xdr:rowOff>55418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ECEB2F2B-BAC2-4F16-811A-10DEB820FF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65017" y="25436945"/>
          <a:ext cx="21291055" cy="11596255"/>
        </a:xfrm>
        <a:prstGeom prst="rect">
          <a:avLst/>
        </a:prstGeom>
      </xdr:spPr>
    </xdr:pic>
    <xdr:clientData/>
  </xdr:twoCellAnchor>
  <xdr:twoCellAnchor editAs="oneCell">
    <xdr:from>
      <xdr:col>34</xdr:col>
      <xdr:colOff>0</xdr:colOff>
      <xdr:row>57</xdr:row>
      <xdr:rowOff>0</xdr:rowOff>
    </xdr:from>
    <xdr:to>
      <xdr:col>44</xdr:col>
      <xdr:colOff>330770</xdr:colOff>
      <xdr:row>106</xdr:row>
      <xdr:rowOff>49640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4200C937-2E7B-80D6-684C-6D69602E18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2610618" y="13425055"/>
          <a:ext cx="6980952" cy="115904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51"/>
  <sheetViews>
    <sheetView tabSelected="1" topLeftCell="A12" zoomScale="85" zoomScaleNormal="85" workbookViewId="0">
      <selection activeCell="L35" sqref="L35"/>
    </sheetView>
  </sheetViews>
  <sheetFormatPr defaultColWidth="9.09765625" defaultRowHeight="13.2" x14ac:dyDescent="0.25"/>
  <cols>
    <col min="1" max="1" width="14.69921875" style="11" customWidth="1"/>
    <col min="2" max="2" width="14.69921875" style="12" customWidth="1"/>
    <col min="3" max="4" width="14.69921875" style="11" customWidth="1"/>
    <col min="5" max="6" width="9.09765625" style="5"/>
    <col min="7" max="7" width="19" style="5" customWidth="1"/>
    <col min="8" max="33" width="10.59765625" style="5" customWidth="1"/>
    <col min="34" max="16384" width="9.09765625" style="5"/>
  </cols>
  <sheetData>
    <row r="1" spans="1:33" ht="16.8" x14ac:dyDescent="0.25">
      <c r="A1" s="75" t="s">
        <v>0</v>
      </c>
      <c r="B1" s="76"/>
      <c r="C1" s="76"/>
      <c r="D1" s="76"/>
    </row>
    <row r="2" spans="1:33" ht="25.2" x14ac:dyDescent="0.4">
      <c r="A2" s="88" t="s">
        <v>1</v>
      </c>
      <c r="B2" s="89"/>
      <c r="C2" s="90"/>
      <c r="D2" s="83">
        <v>3</v>
      </c>
      <c r="H2" s="66"/>
      <c r="I2" s="66"/>
      <c r="J2" s="72" t="s">
        <v>52</v>
      </c>
      <c r="K2" s="72"/>
      <c r="L2" s="72" t="s">
        <v>53</v>
      </c>
      <c r="M2" s="72"/>
      <c r="N2" s="72" t="s">
        <v>54</v>
      </c>
      <c r="O2" s="72"/>
      <c r="P2" s="72"/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</row>
    <row r="3" spans="1:33" ht="16.8" x14ac:dyDescent="0.3">
      <c r="A3" s="88" t="s">
        <v>2</v>
      </c>
      <c r="B3" s="89"/>
      <c r="C3" s="90"/>
      <c r="D3" s="84">
        <f>D2</f>
        <v>3</v>
      </c>
      <c r="G3" s="51"/>
      <c r="H3" s="43"/>
      <c r="I3" s="43"/>
      <c r="J3" s="69">
        <f>SUM('Bảng Input L30'!B13:B43)</f>
        <v>640.51297768286497</v>
      </c>
      <c r="K3" s="69"/>
      <c r="L3" s="70">
        <f>J3*91</f>
        <v>58286.680969140711</v>
      </c>
      <c r="M3" s="70"/>
      <c r="N3" s="71">
        <f>L3+'Bảng Input L30'!C44</f>
        <v>561261.6839788137</v>
      </c>
      <c r="O3" s="71"/>
      <c r="P3" s="71"/>
      <c r="Q3" s="43"/>
      <c r="R3" s="43"/>
      <c r="S3" s="43"/>
      <c r="T3" s="43"/>
      <c r="U3" s="43"/>
      <c r="V3" s="43"/>
      <c r="W3" s="43"/>
      <c r="X3" s="43"/>
      <c r="Y3" s="43"/>
      <c r="Z3" s="43"/>
      <c r="AA3" s="43"/>
      <c r="AB3" s="43"/>
      <c r="AC3" s="43"/>
      <c r="AD3" s="43"/>
      <c r="AE3" s="43"/>
      <c r="AF3" s="43"/>
      <c r="AG3" s="43"/>
    </row>
    <row r="4" spans="1:33" ht="18.600000000000001" x14ac:dyDescent="0.3">
      <c r="A4" s="88" t="s">
        <v>3</v>
      </c>
      <c r="B4" s="89"/>
      <c r="C4" s="90"/>
      <c r="D4" s="84">
        <f>D3</f>
        <v>3</v>
      </c>
      <c r="G4" s="52" t="s">
        <v>14</v>
      </c>
      <c r="H4" s="82">
        <f>D9</f>
        <v>1.6180000000000001</v>
      </c>
      <c r="I4" s="1">
        <v>1.3819999999999999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</row>
    <row r="5" spans="1:33" ht="18.600000000000001" x14ac:dyDescent="0.3">
      <c r="A5" s="88" t="s">
        <v>4</v>
      </c>
      <c r="B5" s="89"/>
      <c r="C5" s="90"/>
      <c r="D5" s="84">
        <f>D4</f>
        <v>3</v>
      </c>
      <c r="G5" s="52" t="s">
        <v>75</v>
      </c>
      <c r="H5" s="53">
        <v>3</v>
      </c>
      <c r="I5" s="2">
        <v>1.6180000000000001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</row>
    <row r="6" spans="1:33" ht="21" thickBot="1" x14ac:dyDescent="0.35">
      <c r="A6" s="88" t="s">
        <v>5</v>
      </c>
      <c r="B6" s="89"/>
      <c r="C6" s="90"/>
      <c r="D6" s="84">
        <f>D5</f>
        <v>3</v>
      </c>
      <c r="G6" s="52" t="s">
        <v>93</v>
      </c>
      <c r="H6" s="54">
        <v>9</v>
      </c>
      <c r="N6" s="67" t="s">
        <v>13</v>
      </c>
    </row>
    <row r="7" spans="1:33" ht="16.8" x14ac:dyDescent="0.3">
      <c r="A7" s="88" t="s">
        <v>6</v>
      </c>
      <c r="B7" s="89"/>
      <c r="C7" s="90"/>
      <c r="D7" s="84">
        <f>D6</f>
        <v>3</v>
      </c>
      <c r="G7" s="1"/>
      <c r="H7" s="1"/>
      <c r="I7" s="64">
        <v>2200</v>
      </c>
      <c r="J7" s="64">
        <f>I7-H$5</f>
        <v>2197</v>
      </c>
      <c r="K7" s="64">
        <f t="shared" ref="K7:X7" si="0">J7-$H$5</f>
        <v>2194</v>
      </c>
      <c r="L7" s="64">
        <f t="shared" si="0"/>
        <v>2191</v>
      </c>
      <c r="M7" s="64">
        <f t="shared" si="0"/>
        <v>2188</v>
      </c>
      <c r="N7" s="64">
        <f t="shared" si="0"/>
        <v>2185</v>
      </c>
      <c r="O7" s="64">
        <f t="shared" si="0"/>
        <v>2182</v>
      </c>
      <c r="P7" s="64">
        <f t="shared" si="0"/>
        <v>2179</v>
      </c>
      <c r="Q7" s="64">
        <f t="shared" si="0"/>
        <v>2176</v>
      </c>
      <c r="R7" s="64">
        <f t="shared" si="0"/>
        <v>2173</v>
      </c>
      <c r="S7" s="64">
        <f t="shared" si="0"/>
        <v>2170</v>
      </c>
      <c r="T7" s="64">
        <f t="shared" si="0"/>
        <v>2167</v>
      </c>
      <c r="U7" s="64">
        <f t="shared" si="0"/>
        <v>2164</v>
      </c>
      <c r="V7" s="64">
        <f t="shared" si="0"/>
        <v>2161</v>
      </c>
      <c r="W7" s="64">
        <f t="shared" si="0"/>
        <v>2158</v>
      </c>
      <c r="X7" s="64">
        <f t="shared" si="0"/>
        <v>2155</v>
      </c>
      <c r="Y7" s="64">
        <f t="shared" ref="Y7" si="1">X7-$H$5</f>
        <v>2152</v>
      </c>
      <c r="Z7" s="64">
        <f t="shared" ref="Z7" si="2">Y7-$H$5</f>
        <v>2149</v>
      </c>
      <c r="AA7" s="64">
        <f t="shared" ref="AA7" si="3">Z7-$H$5</f>
        <v>2146</v>
      </c>
      <c r="AB7" s="64">
        <f t="shared" ref="AB7" si="4">AA7-$H$5</f>
        <v>2143</v>
      </c>
      <c r="AC7" s="64">
        <f t="shared" ref="AC7" si="5">AB7-$H$5</f>
        <v>2140</v>
      </c>
      <c r="AD7" s="64">
        <f t="shared" ref="AD7" si="6">AC7-$H$5</f>
        <v>2137</v>
      </c>
      <c r="AE7" s="64">
        <f t="shared" ref="AE7" si="7">AD7-$H$5</f>
        <v>2134</v>
      </c>
      <c r="AF7" s="64">
        <f t="shared" ref="AF7" si="8">AE7-$H$5</f>
        <v>2131</v>
      </c>
      <c r="AG7" s="64">
        <f t="shared" ref="AG7" si="9">AF7-$H$5</f>
        <v>2128</v>
      </c>
    </row>
    <row r="8" spans="1:33" ht="16.8" x14ac:dyDescent="0.3">
      <c r="A8" s="88" t="s">
        <v>103</v>
      </c>
      <c r="B8" s="89"/>
      <c r="C8" s="90"/>
      <c r="D8" s="85">
        <v>0.01</v>
      </c>
      <c r="G8" s="1"/>
      <c r="H8" s="1"/>
      <c r="I8" s="64">
        <v>0</v>
      </c>
      <c r="J8" s="64">
        <f t="shared" ref="J8:X8" si="10">$I$7-J7</f>
        <v>3</v>
      </c>
      <c r="K8" s="64">
        <f t="shared" si="10"/>
        <v>6</v>
      </c>
      <c r="L8" s="64">
        <f t="shared" si="10"/>
        <v>9</v>
      </c>
      <c r="M8" s="64">
        <f t="shared" si="10"/>
        <v>12</v>
      </c>
      <c r="N8" s="64">
        <f t="shared" si="10"/>
        <v>15</v>
      </c>
      <c r="O8" s="64">
        <f t="shared" si="10"/>
        <v>18</v>
      </c>
      <c r="P8" s="64">
        <f t="shared" si="10"/>
        <v>21</v>
      </c>
      <c r="Q8" s="64">
        <f t="shared" si="10"/>
        <v>24</v>
      </c>
      <c r="R8" s="64">
        <f t="shared" si="10"/>
        <v>27</v>
      </c>
      <c r="S8" s="64">
        <f t="shared" si="10"/>
        <v>30</v>
      </c>
      <c r="T8" s="64">
        <f t="shared" si="10"/>
        <v>33</v>
      </c>
      <c r="U8" s="64">
        <f t="shared" si="10"/>
        <v>36</v>
      </c>
      <c r="V8" s="64">
        <f t="shared" si="10"/>
        <v>39</v>
      </c>
      <c r="W8" s="64">
        <f t="shared" si="10"/>
        <v>42</v>
      </c>
      <c r="X8" s="64">
        <f t="shared" si="10"/>
        <v>45</v>
      </c>
      <c r="Y8" s="64">
        <f t="shared" ref="Y8:AG8" si="11">$I$7-Y7</f>
        <v>48</v>
      </c>
      <c r="Z8" s="64">
        <f t="shared" si="11"/>
        <v>51</v>
      </c>
      <c r="AA8" s="64">
        <f t="shared" si="11"/>
        <v>54</v>
      </c>
      <c r="AB8" s="64">
        <f t="shared" si="11"/>
        <v>57</v>
      </c>
      <c r="AC8" s="64">
        <f t="shared" si="11"/>
        <v>60</v>
      </c>
      <c r="AD8" s="64">
        <f t="shared" si="11"/>
        <v>63</v>
      </c>
      <c r="AE8" s="64">
        <f t="shared" si="11"/>
        <v>66</v>
      </c>
      <c r="AF8" s="64">
        <f t="shared" si="11"/>
        <v>69</v>
      </c>
      <c r="AG8" s="64">
        <f t="shared" si="11"/>
        <v>72</v>
      </c>
    </row>
    <row r="9" spans="1:33" ht="16.8" x14ac:dyDescent="0.3">
      <c r="A9" s="88" t="s">
        <v>7</v>
      </c>
      <c r="B9" s="89"/>
      <c r="C9" s="90"/>
      <c r="D9" s="86">
        <v>1.6180000000000001</v>
      </c>
      <c r="G9" s="55" t="s">
        <v>17</v>
      </c>
      <c r="H9" s="55" t="s">
        <v>74</v>
      </c>
      <c r="I9" s="55" t="s">
        <v>19</v>
      </c>
      <c r="J9" s="55" t="s">
        <v>20</v>
      </c>
      <c r="K9" s="55" t="s">
        <v>21</v>
      </c>
      <c r="L9" s="55" t="s">
        <v>22</v>
      </c>
      <c r="M9" s="55" t="s">
        <v>23</v>
      </c>
      <c r="N9" s="55" t="s">
        <v>24</v>
      </c>
      <c r="O9" s="55" t="s">
        <v>25</v>
      </c>
      <c r="P9" s="55" t="s">
        <v>26</v>
      </c>
      <c r="Q9" s="55" t="s">
        <v>27</v>
      </c>
      <c r="R9" s="55" t="s">
        <v>28</v>
      </c>
      <c r="S9" s="55" t="s">
        <v>29</v>
      </c>
      <c r="T9" s="55" t="s">
        <v>30</v>
      </c>
      <c r="U9" s="55" t="s">
        <v>31</v>
      </c>
      <c r="V9" s="55" t="s">
        <v>32</v>
      </c>
      <c r="W9" s="55" t="s">
        <v>33</v>
      </c>
      <c r="X9" s="55" t="s">
        <v>34</v>
      </c>
      <c r="Y9" s="55" t="s">
        <v>94</v>
      </c>
      <c r="Z9" s="55" t="s">
        <v>95</v>
      </c>
      <c r="AA9" s="55" t="s">
        <v>96</v>
      </c>
      <c r="AB9" s="55" t="s">
        <v>97</v>
      </c>
      <c r="AC9" s="55" t="s">
        <v>98</v>
      </c>
      <c r="AD9" s="55" t="s">
        <v>99</v>
      </c>
      <c r="AE9" s="55" t="s">
        <v>100</v>
      </c>
      <c r="AF9" s="55" t="s">
        <v>101</v>
      </c>
      <c r="AG9" s="55" t="s">
        <v>102</v>
      </c>
    </row>
    <row r="10" spans="1:33" ht="16.8" x14ac:dyDescent="0.3">
      <c r="A10" s="88" t="s">
        <v>104</v>
      </c>
      <c r="B10" s="89"/>
      <c r="C10" s="90"/>
      <c r="D10" s="87">
        <v>22</v>
      </c>
      <c r="G10" s="59" t="s">
        <v>73</v>
      </c>
      <c r="H10" s="55" t="s">
        <v>18</v>
      </c>
      <c r="I10" s="55">
        <v>1</v>
      </c>
      <c r="J10" s="55">
        <v>2</v>
      </c>
      <c r="K10" s="55">
        <v>3</v>
      </c>
      <c r="L10" s="55">
        <v>4</v>
      </c>
      <c r="M10" s="55">
        <v>5</v>
      </c>
      <c r="N10" s="55">
        <v>6</v>
      </c>
      <c r="O10" s="55">
        <v>7</v>
      </c>
      <c r="P10" s="55">
        <v>8</v>
      </c>
      <c r="Q10" s="55">
        <v>9</v>
      </c>
      <c r="R10" s="55">
        <v>10</v>
      </c>
      <c r="S10" s="55">
        <v>11</v>
      </c>
      <c r="T10" s="55">
        <v>12</v>
      </c>
      <c r="U10" s="55">
        <v>13</v>
      </c>
      <c r="V10" s="55">
        <v>14</v>
      </c>
      <c r="W10" s="55">
        <v>15</v>
      </c>
      <c r="X10" s="55">
        <v>16</v>
      </c>
      <c r="Y10" s="55">
        <v>17</v>
      </c>
      <c r="Z10" s="55">
        <v>18</v>
      </c>
      <c r="AA10" s="55">
        <v>19</v>
      </c>
      <c r="AB10" s="55">
        <v>20</v>
      </c>
      <c r="AC10" s="55">
        <v>21</v>
      </c>
      <c r="AD10" s="55">
        <v>22</v>
      </c>
      <c r="AE10" s="55">
        <v>23</v>
      </c>
      <c r="AF10" s="55">
        <v>24</v>
      </c>
      <c r="AG10" s="55">
        <v>25</v>
      </c>
    </row>
    <row r="11" spans="1:33" ht="17.399999999999999" thickBot="1" x14ac:dyDescent="0.35">
      <c r="A11" s="6"/>
      <c r="B11" s="7"/>
      <c r="C11" s="6"/>
      <c r="D11" s="6"/>
      <c r="G11" s="60">
        <v>1</v>
      </c>
      <c r="H11" s="61">
        <f>'Bảng Input L30'!B13</f>
        <v>0.01</v>
      </c>
      <c r="I11" s="57">
        <f>H11*H6*100</f>
        <v>9</v>
      </c>
      <c r="J11" s="57">
        <f>H11*100*(H6-H5)</f>
        <v>6</v>
      </c>
      <c r="K11" s="57">
        <f t="shared" ref="K11:X11" si="12">$H$11*100*($H$6-$H$5*J10)</f>
        <v>3</v>
      </c>
      <c r="L11" s="57">
        <f t="shared" si="12"/>
        <v>0</v>
      </c>
      <c r="M11" s="57">
        <f>$H$11*100*($H$6-$H$5*L10)</f>
        <v>-3</v>
      </c>
      <c r="N11" s="57">
        <f t="shared" si="12"/>
        <v>-6</v>
      </c>
      <c r="O11" s="57">
        <f t="shared" si="12"/>
        <v>-9</v>
      </c>
      <c r="P11" s="57">
        <f t="shared" si="12"/>
        <v>-12</v>
      </c>
      <c r="Q11" s="57">
        <f t="shared" si="12"/>
        <v>-15</v>
      </c>
      <c r="R11" s="57">
        <f t="shared" si="12"/>
        <v>-18</v>
      </c>
      <c r="S11" s="57">
        <f t="shared" si="12"/>
        <v>-21</v>
      </c>
      <c r="T11" s="57">
        <f t="shared" si="12"/>
        <v>-24</v>
      </c>
      <c r="U11" s="57">
        <f t="shared" si="12"/>
        <v>-27</v>
      </c>
      <c r="V11" s="57">
        <f t="shared" si="12"/>
        <v>-30</v>
      </c>
      <c r="W11" s="57">
        <f t="shared" si="12"/>
        <v>-33</v>
      </c>
      <c r="X11" s="57">
        <f t="shared" si="12"/>
        <v>-36</v>
      </c>
      <c r="Y11" s="57"/>
      <c r="Z11" s="57"/>
      <c r="AA11" s="57"/>
      <c r="AB11" s="57"/>
      <c r="AC11" s="57"/>
      <c r="AD11" s="57"/>
      <c r="AE11" s="57"/>
      <c r="AF11" s="57"/>
      <c r="AG11" s="57"/>
    </row>
    <row r="12" spans="1:33" ht="18" thickTop="1" thickBot="1" x14ac:dyDescent="0.3">
      <c r="A12" s="44" t="s">
        <v>8</v>
      </c>
      <c r="B12" s="45" t="s">
        <v>9</v>
      </c>
      <c r="C12" s="46" t="s">
        <v>10</v>
      </c>
      <c r="D12" s="46" t="s">
        <v>11</v>
      </c>
      <c r="G12" s="60">
        <v>2</v>
      </c>
      <c r="H12" s="56">
        <f t="shared" ref="H12:H26" si="13">H11*$H$4</f>
        <v>1.618E-2</v>
      </c>
      <c r="I12" s="3"/>
      <c r="J12" s="57">
        <f>H12*100*H6</f>
        <v>14.561999999999999</v>
      </c>
      <c r="K12" s="57">
        <f>H12*100*(H6-H5)</f>
        <v>9.7079999999999984</v>
      </c>
      <c r="L12" s="57">
        <f t="shared" ref="L12:X12" si="14">$H$12*100*($H$6-$H$5*J10)</f>
        <v>4.8539999999999992</v>
      </c>
      <c r="M12" s="57">
        <f t="shared" si="14"/>
        <v>0</v>
      </c>
      <c r="N12" s="57">
        <f t="shared" si="14"/>
        <v>-4.8539999999999992</v>
      </c>
      <c r="O12" s="57">
        <f t="shared" si="14"/>
        <v>-9.7079999999999984</v>
      </c>
      <c r="P12" s="57">
        <f t="shared" si="14"/>
        <v>-14.561999999999999</v>
      </c>
      <c r="Q12" s="57">
        <f t="shared" si="14"/>
        <v>-19.415999999999997</v>
      </c>
      <c r="R12" s="57">
        <f t="shared" si="14"/>
        <v>-24.27</v>
      </c>
      <c r="S12" s="57">
        <f t="shared" si="14"/>
        <v>-29.123999999999999</v>
      </c>
      <c r="T12" s="57">
        <f t="shared" si="14"/>
        <v>-33.977999999999994</v>
      </c>
      <c r="U12" s="57">
        <f t="shared" si="14"/>
        <v>-38.831999999999994</v>
      </c>
      <c r="V12" s="57">
        <f t="shared" si="14"/>
        <v>-43.686</v>
      </c>
      <c r="W12" s="57">
        <f t="shared" si="14"/>
        <v>-48.54</v>
      </c>
      <c r="X12" s="57">
        <f t="shared" si="14"/>
        <v>-53.393999999999998</v>
      </c>
      <c r="Y12" s="57"/>
      <c r="Z12" s="57"/>
      <c r="AA12" s="57"/>
      <c r="AB12" s="57"/>
      <c r="AC12" s="57"/>
      <c r="AD12" s="57"/>
      <c r="AE12" s="57"/>
      <c r="AF12" s="57"/>
      <c r="AG12" s="57"/>
    </row>
    <row r="13" spans="1:33" ht="17.399999999999999" thickTop="1" x14ac:dyDescent="0.3">
      <c r="A13" s="47" t="str">
        <f>IF($D$10&gt;0,"L1",0)</f>
        <v>L1</v>
      </c>
      <c r="B13" s="8">
        <f>+D8</f>
        <v>0.01</v>
      </c>
      <c r="C13" s="9">
        <f>+B13*D13*100</f>
        <v>63</v>
      </c>
      <c r="D13" s="9">
        <f>IF(A13=0,0,$D$2+$D$3+$D$4+$D$5+$D$6+($D$7*($D$10-6)))</f>
        <v>63</v>
      </c>
      <c r="G13" s="60">
        <v>3</v>
      </c>
      <c r="H13" s="56">
        <f t="shared" si="13"/>
        <v>2.6179240000000003E-2</v>
      </c>
      <c r="I13" s="3"/>
      <c r="J13" s="3"/>
      <c r="K13" s="57">
        <f>H13*100*H6</f>
        <v>23.561316000000005</v>
      </c>
      <c r="L13" s="57">
        <f>H13*100*(H6-H5)</f>
        <v>15.707544000000002</v>
      </c>
      <c r="M13" s="57">
        <f t="shared" ref="M13:X13" si="15">$H$13*100*($H$6-$H$5*J10)</f>
        <v>7.8537720000000011</v>
      </c>
      <c r="N13" s="57">
        <f t="shared" si="15"/>
        <v>0</v>
      </c>
      <c r="O13" s="57">
        <f t="shared" si="15"/>
        <v>-7.8537720000000011</v>
      </c>
      <c r="P13" s="57">
        <f t="shared" si="15"/>
        <v>-15.707544000000002</v>
      </c>
      <c r="Q13" s="57">
        <f t="shared" si="15"/>
        <v>-23.561316000000005</v>
      </c>
      <c r="R13" s="57">
        <f t="shared" si="15"/>
        <v>-31.415088000000004</v>
      </c>
      <c r="S13" s="57">
        <f t="shared" si="15"/>
        <v>-39.268860000000004</v>
      </c>
      <c r="T13" s="57">
        <f t="shared" si="15"/>
        <v>-47.12263200000001</v>
      </c>
      <c r="U13" s="57">
        <f t="shared" si="15"/>
        <v>-54.976404000000009</v>
      </c>
      <c r="V13" s="57">
        <f t="shared" si="15"/>
        <v>-62.830176000000009</v>
      </c>
      <c r="W13" s="57">
        <f t="shared" si="15"/>
        <v>-70.683948000000015</v>
      </c>
      <c r="X13" s="57">
        <f t="shared" si="15"/>
        <v>-78.537720000000007</v>
      </c>
      <c r="Y13" s="57"/>
      <c r="Z13" s="57"/>
      <c r="AA13" s="57"/>
      <c r="AB13" s="57"/>
      <c r="AC13" s="57"/>
      <c r="AD13" s="57"/>
      <c r="AE13" s="57"/>
      <c r="AF13" s="57"/>
      <c r="AG13" s="57"/>
    </row>
    <row r="14" spans="1:33" ht="16.8" x14ac:dyDescent="0.3">
      <c r="A14" s="47" t="str">
        <f>IF(A13=0,0,IF(VALUE(MID(A13,2,2))&gt;=$D$10,0,"L"&amp;VALUE(MID(A13,2,2))+1))</f>
        <v>L2</v>
      </c>
      <c r="B14" s="10">
        <f>IF(A14&lt;&gt;0,B13*$D$9,0)</f>
        <v>1.618E-2</v>
      </c>
      <c r="C14" s="9">
        <f t="shared" ref="C14:C43" si="16">+B14*D14*100</f>
        <v>97.08</v>
      </c>
      <c r="D14" s="9">
        <f>IF(A14=0,0,$D$3+$D$4+$D$5+$D$6+($D$7*($D$10-6)))</f>
        <v>60</v>
      </c>
      <c r="G14" s="60">
        <v>4</v>
      </c>
      <c r="H14" s="56">
        <f t="shared" si="13"/>
        <v>4.2358010320000007E-2</v>
      </c>
      <c r="I14" s="3"/>
      <c r="J14" s="3"/>
      <c r="K14" s="3"/>
      <c r="L14" s="57">
        <f>H14*100*H6</f>
        <v>38.122209288000001</v>
      </c>
      <c r="M14" s="57">
        <f>H14*100*(H6-H5)</f>
        <v>25.414806192</v>
      </c>
      <c r="N14" s="57">
        <f t="shared" ref="N14:X14" si="17">$H$14*100*($H$6-$H$5*J10)</f>
        <v>12.707403096</v>
      </c>
      <c r="O14" s="57">
        <f t="shared" si="17"/>
        <v>0</v>
      </c>
      <c r="P14" s="57">
        <f t="shared" si="17"/>
        <v>-12.707403096</v>
      </c>
      <c r="Q14" s="57">
        <f t="shared" si="17"/>
        <v>-25.414806192</v>
      </c>
      <c r="R14" s="57">
        <f t="shared" si="17"/>
        <v>-38.122209288000001</v>
      </c>
      <c r="S14" s="57">
        <f t="shared" si="17"/>
        <v>-50.829612384000001</v>
      </c>
      <c r="T14" s="57">
        <f t="shared" si="17"/>
        <v>-63.537015480000008</v>
      </c>
      <c r="U14" s="57">
        <f t="shared" si="17"/>
        <v>-76.244418576000001</v>
      </c>
      <c r="V14" s="57">
        <f t="shared" si="17"/>
        <v>-88.951821672000008</v>
      </c>
      <c r="W14" s="57">
        <f t="shared" si="17"/>
        <v>-101.659224768</v>
      </c>
      <c r="X14" s="57">
        <f t="shared" si="17"/>
        <v>-114.36662786400001</v>
      </c>
      <c r="Y14" s="57"/>
      <c r="Z14" s="57"/>
      <c r="AA14" s="57"/>
      <c r="AB14" s="57"/>
      <c r="AC14" s="57"/>
      <c r="AD14" s="57"/>
      <c r="AE14" s="57"/>
      <c r="AF14" s="57"/>
      <c r="AG14" s="57"/>
    </row>
    <row r="15" spans="1:33" ht="16.8" x14ac:dyDescent="0.3">
      <c r="A15" s="47" t="str">
        <f>IF(A14=0,0,IF(VALUE(MID(A14,2,2))&gt;=$D$10,0,"L"&amp;VALUE(MID(A14,2,2))+1))</f>
        <v>L3</v>
      </c>
      <c r="B15" s="10">
        <f>IF(A15&lt;&gt;0,B14*$D$9,0)</f>
        <v>2.6179240000000003E-2</v>
      </c>
      <c r="C15" s="9">
        <f t="shared" si="16"/>
        <v>149.22166799999999</v>
      </c>
      <c r="D15" s="9">
        <f>IF(A15=0,0,$D$4+$D$5+$D$6+($D$7*($D$10-6)))</f>
        <v>57</v>
      </c>
      <c r="G15" s="60">
        <v>5</v>
      </c>
      <c r="H15" s="56">
        <f t="shared" si="13"/>
        <v>6.8535260697760017E-2</v>
      </c>
      <c r="I15" s="4"/>
      <c r="J15" s="3"/>
      <c r="K15" s="3"/>
      <c r="L15" s="3"/>
      <c r="M15" s="57">
        <f>H15*H6*100</f>
        <v>61.681734627984021</v>
      </c>
      <c r="N15" s="57">
        <f>H15*100*(H6-H5)</f>
        <v>41.121156418656007</v>
      </c>
      <c r="O15" s="57">
        <f t="shared" ref="O15:X15" si="18">$H$15*100*($H$6-$H$5*J10)</f>
        <v>20.560578209328003</v>
      </c>
      <c r="P15" s="57">
        <f t="shared" si="18"/>
        <v>0</v>
      </c>
      <c r="Q15" s="57">
        <f t="shared" si="18"/>
        <v>-20.560578209328003</v>
      </c>
      <c r="R15" s="57">
        <f t="shared" si="18"/>
        <v>-41.121156418656007</v>
      </c>
      <c r="S15" s="57">
        <f t="shared" si="18"/>
        <v>-61.681734627984014</v>
      </c>
      <c r="T15" s="57">
        <f t="shared" si="18"/>
        <v>-82.242312837312014</v>
      </c>
      <c r="U15" s="57">
        <f t="shared" si="18"/>
        <v>-102.80289104664003</v>
      </c>
      <c r="V15" s="57">
        <f t="shared" si="18"/>
        <v>-123.36346925596803</v>
      </c>
      <c r="W15" s="57">
        <f t="shared" si="18"/>
        <v>-143.92404746529604</v>
      </c>
      <c r="X15" s="57">
        <f t="shared" si="18"/>
        <v>-164.48462567462403</v>
      </c>
      <c r="Y15" s="57"/>
      <c r="Z15" s="57"/>
      <c r="AA15" s="57"/>
      <c r="AB15" s="57"/>
      <c r="AC15" s="57"/>
      <c r="AD15" s="57"/>
      <c r="AE15" s="57"/>
      <c r="AF15" s="57"/>
      <c r="AG15" s="57"/>
    </row>
    <row r="16" spans="1:33" ht="16.8" x14ac:dyDescent="0.3">
      <c r="A16" s="47" t="str">
        <f>IF(A15=0,0,IF(VALUE(MID(A15,2,2))&gt;=$D$10,0,"L"&amp;VALUE(MID(A15,2,2))+1))</f>
        <v>L4</v>
      </c>
      <c r="B16" s="10">
        <f>IF(A16&lt;&gt;0,B15*$D$9,0)</f>
        <v>4.2358010320000007E-2</v>
      </c>
      <c r="C16" s="9">
        <f t="shared" si="16"/>
        <v>228.73325572800005</v>
      </c>
      <c r="D16" s="9">
        <f>IF(A16=0,0,$D$5+$D$6+($D$7*($D$10-6)))</f>
        <v>54</v>
      </c>
      <c r="G16" s="60">
        <v>6</v>
      </c>
      <c r="H16" s="56">
        <f t="shared" si="13"/>
        <v>0.11089005180897571</v>
      </c>
      <c r="I16" s="3"/>
      <c r="J16" s="3"/>
      <c r="K16" s="3"/>
      <c r="L16" s="3"/>
      <c r="M16" s="3"/>
      <c r="N16" s="57">
        <f>H16*H6*100</f>
        <v>99.80104662807814</v>
      </c>
      <c r="O16" s="57">
        <f>H16*100*(H6-H5)</f>
        <v>66.534031085385422</v>
      </c>
      <c r="P16" s="57">
        <f t="shared" ref="P16:X16" si="19">$H$16*100*($H$6-$H$5*J10)</f>
        <v>33.267015542692711</v>
      </c>
      <c r="Q16" s="57">
        <f t="shared" si="19"/>
        <v>0</v>
      </c>
      <c r="R16" s="57">
        <f t="shared" si="19"/>
        <v>-33.267015542692711</v>
      </c>
      <c r="S16" s="57">
        <f t="shared" si="19"/>
        <v>-66.534031085385422</v>
      </c>
      <c r="T16" s="57">
        <f t="shared" si="19"/>
        <v>-99.80104662807814</v>
      </c>
      <c r="U16" s="57">
        <f t="shared" si="19"/>
        <v>-133.06806217077084</v>
      </c>
      <c r="V16" s="57">
        <f t="shared" si="19"/>
        <v>-166.33507771346356</v>
      </c>
      <c r="W16" s="57">
        <f t="shared" si="19"/>
        <v>-199.60209325615628</v>
      </c>
      <c r="X16" s="57">
        <f t="shared" si="19"/>
        <v>-232.869108798849</v>
      </c>
      <c r="Y16" s="57"/>
      <c r="Z16" s="57"/>
      <c r="AA16" s="57"/>
      <c r="AB16" s="57"/>
      <c r="AC16" s="57"/>
      <c r="AD16" s="57"/>
      <c r="AE16" s="57"/>
      <c r="AF16" s="57"/>
      <c r="AG16" s="57"/>
    </row>
    <row r="17" spans="1:33" ht="16.8" x14ac:dyDescent="0.3">
      <c r="A17" s="47" t="str">
        <f>IF(A16=0,0,IF(VALUE(MID(A16,2,2))&gt;=$D$10,0,"L"&amp;VALUE(MID(A16,2,2))+1))</f>
        <v>L5</v>
      </c>
      <c r="B17" s="10">
        <f>IF(A17&lt;&gt;0,B16*$D$9,0)</f>
        <v>6.8535260697760017E-2</v>
      </c>
      <c r="C17" s="9">
        <f t="shared" si="16"/>
        <v>349.52982955857607</v>
      </c>
      <c r="D17" s="9">
        <f>IF(A17=0,0,$D$6+($D$7*($D$10-6)))</f>
        <v>51</v>
      </c>
      <c r="G17" s="60">
        <v>7</v>
      </c>
      <c r="H17" s="56">
        <f t="shared" si="13"/>
        <v>0.17942010382692272</v>
      </c>
      <c r="I17" s="3"/>
      <c r="J17" s="3"/>
      <c r="K17" s="3"/>
      <c r="L17" s="3"/>
      <c r="M17" s="3"/>
      <c r="N17" s="3"/>
      <c r="O17" s="57">
        <f>H6*H17*100</f>
        <v>161.47809344423047</v>
      </c>
      <c r="P17" s="57">
        <f>H17*100*(H6-H5)</f>
        <v>107.65206229615362</v>
      </c>
      <c r="Q17" s="57">
        <f t="shared" ref="Q17:X17" si="20">$H$17*100*($H$6-$H$5*J10)</f>
        <v>53.826031148076808</v>
      </c>
      <c r="R17" s="57">
        <f t="shared" si="20"/>
        <v>0</v>
      </c>
      <c r="S17" s="57">
        <f t="shared" si="20"/>
        <v>-53.826031148076808</v>
      </c>
      <c r="T17" s="57">
        <f t="shared" si="20"/>
        <v>-107.65206229615362</v>
      </c>
      <c r="U17" s="57">
        <f t="shared" si="20"/>
        <v>-161.47809344423044</v>
      </c>
      <c r="V17" s="57">
        <f t="shared" si="20"/>
        <v>-215.30412459230723</v>
      </c>
      <c r="W17" s="57">
        <f t="shared" si="20"/>
        <v>-269.13015574038405</v>
      </c>
      <c r="X17" s="57">
        <f t="shared" si="20"/>
        <v>-322.95618688846088</v>
      </c>
      <c r="Y17" s="57"/>
      <c r="Z17" s="57"/>
      <c r="AA17" s="57"/>
      <c r="AB17" s="57"/>
      <c r="AC17" s="57"/>
      <c r="AD17" s="57"/>
      <c r="AE17" s="57"/>
      <c r="AF17" s="57"/>
      <c r="AG17" s="57"/>
    </row>
    <row r="18" spans="1:33" ht="16.8" x14ac:dyDescent="0.3">
      <c r="A18" s="47" t="str">
        <f>IF(A17=0,0,IF(VALUE(MID(A17,2,2))&gt;=$D$10,0,"L"&amp;VALUE(MID(A17,2,2))+1))</f>
        <v>L6</v>
      </c>
      <c r="B18" s="10">
        <f>IF(A18&lt;&gt;0,B17*$D$9,0)</f>
        <v>0.11089005180897571</v>
      </c>
      <c r="C18" s="9">
        <f t="shared" si="16"/>
        <v>532.27224868308338</v>
      </c>
      <c r="D18" s="9">
        <f>IF(A18=0,0,($D$7*($D$10-6)))</f>
        <v>48</v>
      </c>
      <c r="G18" s="60">
        <v>8</v>
      </c>
      <c r="H18" s="56">
        <f t="shared" si="13"/>
        <v>0.29030172799196097</v>
      </c>
      <c r="I18" s="3"/>
      <c r="J18" s="3"/>
      <c r="K18" s="3"/>
      <c r="L18" s="3"/>
      <c r="M18" s="3"/>
      <c r="N18" s="3"/>
      <c r="O18" s="3"/>
      <c r="P18" s="57">
        <f>H6*H18*100</f>
        <v>261.27155519276488</v>
      </c>
      <c r="Q18" s="57">
        <f>H18*100*(H6-H5)</f>
        <v>174.1810367951766</v>
      </c>
      <c r="R18" s="57">
        <f t="shared" ref="R18:X18" si="21">$H$18*100*($H$6-$H$5*J10)</f>
        <v>87.090518397588298</v>
      </c>
      <c r="S18" s="57">
        <f t="shared" si="21"/>
        <v>0</v>
      </c>
      <c r="T18" s="57">
        <f t="shared" si="21"/>
        <v>-87.090518397588298</v>
      </c>
      <c r="U18" s="57">
        <f t="shared" si="21"/>
        <v>-174.1810367951766</v>
      </c>
      <c r="V18" s="57">
        <f t="shared" si="21"/>
        <v>-261.27155519276488</v>
      </c>
      <c r="W18" s="57">
        <f t="shared" si="21"/>
        <v>-348.36207359035319</v>
      </c>
      <c r="X18" s="57">
        <f t="shared" si="21"/>
        <v>-435.45259198794145</v>
      </c>
      <c r="Y18" s="57"/>
      <c r="Z18" s="57"/>
      <c r="AA18" s="57"/>
      <c r="AB18" s="57"/>
      <c r="AC18" s="57"/>
      <c r="AD18" s="57"/>
      <c r="AE18" s="57"/>
      <c r="AF18" s="57"/>
      <c r="AG18" s="57"/>
    </row>
    <row r="19" spans="1:33" ht="16.8" x14ac:dyDescent="0.3">
      <c r="A19" s="47" t="str">
        <f>IF(A18=0,0,IF(VALUE(MID(A18,2,2))&gt;=$D$10,0,"L"&amp;VALUE(MID(A18,2,2))+1))</f>
        <v>L7</v>
      </c>
      <c r="B19" s="10">
        <f>IF(A19&lt;&gt;0,B18*$D$9,0)</f>
        <v>0.17942010382692272</v>
      </c>
      <c r="C19" s="9">
        <f t="shared" si="16"/>
        <v>807.39046722115222</v>
      </c>
      <c r="D19" s="9">
        <f>IF(A19=0,0,($D$7*($D$10-7)))</f>
        <v>45</v>
      </c>
      <c r="G19" s="60">
        <v>9</v>
      </c>
      <c r="H19" s="56">
        <f t="shared" si="13"/>
        <v>0.46970819589099289</v>
      </c>
      <c r="I19" s="3"/>
      <c r="J19" s="3"/>
      <c r="K19" s="3"/>
      <c r="L19" s="3"/>
      <c r="M19" s="3"/>
      <c r="N19" s="3"/>
      <c r="O19" s="3"/>
      <c r="P19" s="3"/>
      <c r="Q19" s="57">
        <f>H6*H19*100</f>
        <v>422.73737630189362</v>
      </c>
      <c r="R19" s="57">
        <f>H19*100*(H6-H5)</f>
        <v>281.82491753459573</v>
      </c>
      <c r="S19" s="57">
        <f t="shared" ref="S19:X19" si="22">$H$19*100*($H$6-$H$5*J10)</f>
        <v>140.91245876729786</v>
      </c>
      <c r="T19" s="57">
        <f t="shared" si="22"/>
        <v>0</v>
      </c>
      <c r="U19" s="57">
        <f t="shared" si="22"/>
        <v>-140.91245876729786</v>
      </c>
      <c r="V19" s="57">
        <f t="shared" si="22"/>
        <v>-281.82491753459573</v>
      </c>
      <c r="W19" s="57">
        <f t="shared" si="22"/>
        <v>-422.73737630189356</v>
      </c>
      <c r="X19" s="57">
        <f t="shared" si="22"/>
        <v>-563.64983506919145</v>
      </c>
      <c r="Y19" s="57"/>
      <c r="Z19" s="57"/>
      <c r="AA19" s="57"/>
      <c r="AB19" s="57"/>
      <c r="AC19" s="57"/>
      <c r="AD19" s="57"/>
      <c r="AE19" s="57"/>
      <c r="AF19" s="57"/>
      <c r="AG19" s="57"/>
    </row>
    <row r="20" spans="1:33" ht="16.8" x14ac:dyDescent="0.3">
      <c r="A20" s="47" t="str">
        <f>IF(A19=0,0,IF(VALUE(MID(A19,2,2))&gt;=$D$10,0,"L"&amp;VALUE(MID(A19,2,2))+1))</f>
        <v>L8</v>
      </c>
      <c r="B20" s="10">
        <f>IF(A20&lt;&gt;0,B19*$D$9,0)</f>
        <v>0.29030172799196097</v>
      </c>
      <c r="C20" s="9">
        <f t="shared" si="16"/>
        <v>1219.2672575662361</v>
      </c>
      <c r="D20" s="9">
        <f>IF(A20=0,0,($D$7*($D$10-8)))</f>
        <v>42</v>
      </c>
      <c r="G20" s="60">
        <v>10</v>
      </c>
      <c r="H20" s="56">
        <f t="shared" si="13"/>
        <v>0.75998786095162651</v>
      </c>
      <c r="I20" s="3"/>
      <c r="J20" s="3"/>
      <c r="K20" s="3"/>
      <c r="L20" s="3"/>
      <c r="M20" s="3"/>
      <c r="N20" s="3"/>
      <c r="O20" s="3"/>
      <c r="P20" s="3"/>
      <c r="Q20" s="3"/>
      <c r="R20" s="57">
        <f>H6*H20*100</f>
        <v>683.98907485646384</v>
      </c>
      <c r="S20" s="57">
        <f>H20*100*(H6-H5)</f>
        <v>455.99271657097597</v>
      </c>
      <c r="T20" s="57">
        <f>$H$20*100*($H$6-$H$5*J10)</f>
        <v>227.99635828548799</v>
      </c>
      <c r="U20" s="57">
        <f>$H$20*100*($H$6-$H$5*K10)</f>
        <v>0</v>
      </c>
      <c r="V20" s="57">
        <f>$H$20*100*($H$6-$H$5*L10)</f>
        <v>-227.99635828548799</v>
      </c>
      <c r="W20" s="57">
        <f>$H$20*100*($H$6-$H$5*M10)</f>
        <v>-455.99271657097597</v>
      </c>
      <c r="X20" s="57">
        <f>$H$20*100*($H$6-$H$5*N10)</f>
        <v>-683.98907485646396</v>
      </c>
      <c r="Y20" s="57"/>
      <c r="Z20" s="57"/>
      <c r="AA20" s="57"/>
      <c r="AB20" s="57"/>
      <c r="AC20" s="57"/>
      <c r="AD20" s="57"/>
      <c r="AE20" s="57"/>
      <c r="AF20" s="57"/>
      <c r="AG20" s="57"/>
    </row>
    <row r="21" spans="1:33" ht="16.8" x14ac:dyDescent="0.3">
      <c r="A21" s="47" t="str">
        <f>IF(A20=0,0,IF(VALUE(MID(A20,2,2))&gt;=$D$10,0,"L"&amp;VALUE(MID(A20,2,2))+1))</f>
        <v>L9</v>
      </c>
      <c r="B21" s="10">
        <f>IF(A21&lt;&gt;0,B20*$D$9,0)</f>
        <v>0.46970819589099289</v>
      </c>
      <c r="C21" s="9">
        <f t="shared" si="16"/>
        <v>1831.8619639748722</v>
      </c>
      <c r="D21" s="9">
        <f>IF(A21=0,0,($D$7*($D$10-9)))</f>
        <v>39</v>
      </c>
      <c r="G21" s="60">
        <v>11</v>
      </c>
      <c r="H21" s="56">
        <f t="shared" si="13"/>
        <v>1.2296603590197317</v>
      </c>
      <c r="I21" s="3"/>
      <c r="J21" s="3"/>
      <c r="K21" s="3"/>
      <c r="L21" s="3"/>
      <c r="M21" s="3"/>
      <c r="N21" s="3"/>
      <c r="O21" s="3"/>
      <c r="P21" s="3"/>
      <c r="Q21" s="3"/>
      <c r="R21" s="3"/>
      <c r="S21" s="58">
        <f>H6*H21*100</f>
        <v>1106.6943231177586</v>
      </c>
      <c r="T21" s="58">
        <f>H21*100*(H6-H5)</f>
        <v>737.79621541183906</v>
      </c>
      <c r="U21" s="58">
        <f>$H$21*100*($H$6-$H$5*J10)</f>
        <v>368.89810770591953</v>
      </c>
      <c r="V21" s="58">
        <f>$H$21*100*($H$6-$H$5*K10)</f>
        <v>0</v>
      </c>
      <c r="W21" s="58">
        <f>$H$21*100*($H$6-$H$5*L10)</f>
        <v>-368.89810770591953</v>
      </c>
      <c r="X21" s="58">
        <f>$H$21*100*($H$6-$H$5*M10)</f>
        <v>-737.79621541183906</v>
      </c>
      <c r="Y21" s="58"/>
      <c r="Z21" s="58"/>
      <c r="AA21" s="58"/>
      <c r="AB21" s="58"/>
      <c r="AC21" s="58"/>
      <c r="AD21" s="58"/>
      <c r="AE21" s="58"/>
      <c r="AF21" s="58"/>
      <c r="AG21" s="58"/>
    </row>
    <row r="22" spans="1:33" ht="16.8" x14ac:dyDescent="0.3">
      <c r="A22" s="47" t="str">
        <f>IF(A21=0,0,IF(VALUE(MID(A21,2,2))&gt;=$D$10,0,"L"&amp;VALUE(MID(A21,2,2))+1))</f>
        <v>L10</v>
      </c>
      <c r="B22" s="10">
        <f>IF(A22&lt;&gt;0,B21*$D$9,0)</f>
        <v>0.75998786095162651</v>
      </c>
      <c r="C22" s="9">
        <f t="shared" si="16"/>
        <v>2735.9562994258554</v>
      </c>
      <c r="D22" s="9">
        <f>IF(A22=0,0,($D$7*($D$10-10)))</f>
        <v>36</v>
      </c>
      <c r="G22" s="60">
        <v>12</v>
      </c>
      <c r="H22" s="56">
        <f t="shared" si="13"/>
        <v>1.9895904608939261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58"/>
      <c r="T22" s="58">
        <f>H6*H22*100</f>
        <v>1790.6314148045335</v>
      </c>
      <c r="U22" s="58">
        <f>H22*100*(H6-H5)</f>
        <v>1193.7542765363557</v>
      </c>
      <c r="V22" s="58">
        <f>$H$22*100*($H$6-$H$5*J10)</f>
        <v>596.87713826817787</v>
      </c>
      <c r="W22" s="58">
        <f>$H$22*100*($H$6-$H$5*K10)</f>
        <v>0</v>
      </c>
      <c r="X22" s="58">
        <f>$H$22*100*($H$6-$H$5*L10)</f>
        <v>-596.87713826817787</v>
      </c>
      <c r="Y22" s="58"/>
      <c r="Z22" s="58"/>
      <c r="AA22" s="58"/>
      <c r="AB22" s="58"/>
      <c r="AC22" s="58"/>
      <c r="AD22" s="58"/>
      <c r="AE22" s="58"/>
      <c r="AF22" s="58"/>
      <c r="AG22" s="58"/>
    </row>
    <row r="23" spans="1:33" ht="16.8" x14ac:dyDescent="0.3">
      <c r="A23" s="47" t="str">
        <f>IF(A22=0,0,IF(VALUE(MID(A22,2,2))&gt;=$D$10,0,"L"&amp;VALUE(MID(A22,2,2))+1))</f>
        <v>L11</v>
      </c>
      <c r="B23" s="10">
        <f>IF(A23&lt;&gt;0,B22*$D$9,0)</f>
        <v>1.2296603590197317</v>
      </c>
      <c r="C23" s="9">
        <f t="shared" si="16"/>
        <v>4057.8791847651146</v>
      </c>
      <c r="D23" s="9">
        <f>IF(A23=0,0,($D$7*($D$10-11)))</f>
        <v>33</v>
      </c>
      <c r="G23" s="60">
        <v>13</v>
      </c>
      <c r="H23" s="56">
        <f t="shared" si="13"/>
        <v>3.2191573657263728</v>
      </c>
      <c r="I23" s="3"/>
      <c r="J23" s="3"/>
      <c r="K23" s="3"/>
      <c r="L23" s="3"/>
      <c r="M23" s="3"/>
      <c r="N23" s="3"/>
      <c r="O23" s="3"/>
      <c r="P23" s="3"/>
      <c r="Q23" s="3"/>
      <c r="R23" s="3"/>
      <c r="S23" s="58"/>
      <c r="T23" s="58"/>
      <c r="U23" s="58">
        <f>H6*H23*100</f>
        <v>2897.2416291537356</v>
      </c>
      <c r="V23" s="58">
        <f>H23*100*(H6-H5)</f>
        <v>1931.4944194358236</v>
      </c>
      <c r="W23" s="58">
        <f>$H$23*100*($H$6-$H$5*J10)</f>
        <v>965.7472097179118</v>
      </c>
      <c r="X23" s="58">
        <f>$H$23*100*($H$6-$H$5*K10)</f>
        <v>0</v>
      </c>
      <c r="Y23" s="58"/>
      <c r="Z23" s="58"/>
      <c r="AA23" s="58"/>
      <c r="AB23" s="58"/>
      <c r="AC23" s="58"/>
      <c r="AD23" s="58"/>
      <c r="AE23" s="58"/>
      <c r="AF23" s="58"/>
      <c r="AG23" s="58"/>
    </row>
    <row r="24" spans="1:33" ht="16.8" x14ac:dyDescent="0.3">
      <c r="A24" s="47" t="str">
        <f>IF(A23=0,0,IF(VALUE(MID(A23,2,2))&gt;=$D$10,0,"L"&amp;VALUE(MID(A23,2,2))+1))</f>
        <v>L12</v>
      </c>
      <c r="B24" s="10">
        <f>IF(A24&lt;&gt;0,B23*$D$9,0)</f>
        <v>1.9895904608939261</v>
      </c>
      <c r="C24" s="9">
        <f t="shared" si="16"/>
        <v>5968.7713826817781</v>
      </c>
      <c r="D24" s="9">
        <f>IF(A24=0,0,($D$7*($D$10-12)))</f>
        <v>30</v>
      </c>
      <c r="G24" s="60">
        <v>14</v>
      </c>
      <c r="H24" s="56">
        <f t="shared" si="13"/>
        <v>5.2085966177452718</v>
      </c>
      <c r="I24" s="3"/>
      <c r="J24" s="3"/>
      <c r="K24" s="3"/>
      <c r="L24" s="3"/>
      <c r="M24" s="3"/>
      <c r="N24" s="3"/>
      <c r="O24" s="3"/>
      <c r="P24" s="3"/>
      <c r="Q24" s="3"/>
      <c r="R24" s="3"/>
      <c r="S24" s="58"/>
      <c r="T24" s="58"/>
      <c r="U24" s="58"/>
      <c r="V24" s="58">
        <f>H6*H24*100</f>
        <v>4687.7369559707449</v>
      </c>
      <c r="W24" s="58">
        <f>H24*100*(H6-H5)</f>
        <v>3125.1579706471634</v>
      </c>
      <c r="X24" s="58">
        <f>$H$24*100*($H$6-$H$5*J10)</f>
        <v>1562.5789853235817</v>
      </c>
      <c r="Y24" s="58"/>
      <c r="Z24" s="58"/>
      <c r="AA24" s="58"/>
      <c r="AB24" s="58"/>
      <c r="AC24" s="58"/>
      <c r="AD24" s="58"/>
      <c r="AE24" s="58"/>
      <c r="AF24" s="58"/>
      <c r="AG24" s="58"/>
    </row>
    <row r="25" spans="1:33" ht="16.8" x14ac:dyDescent="0.3">
      <c r="A25" s="47" t="str">
        <f>IF(A24=0,0,IF(VALUE(MID(A24,2,2))&gt;=$D$10,0,"L"&amp;VALUE(MID(A24,2,2))+1))</f>
        <v>L13</v>
      </c>
      <c r="B25" s="10">
        <f>IF(A25&lt;&gt;0,B24*$D$9,0)</f>
        <v>3.2191573657263728</v>
      </c>
      <c r="C25" s="9">
        <f t="shared" si="16"/>
        <v>8691.7248874612069</v>
      </c>
      <c r="D25" s="9">
        <f>IF(A25=0,0,($D$7*($D$10-13)))</f>
        <v>27</v>
      </c>
      <c r="G25" s="60">
        <v>15</v>
      </c>
      <c r="H25" s="56">
        <f t="shared" si="13"/>
        <v>8.4275093275118511</v>
      </c>
      <c r="I25" s="3"/>
      <c r="J25" s="3"/>
      <c r="K25" s="3"/>
      <c r="L25" s="3"/>
      <c r="M25" s="3"/>
      <c r="N25" s="3"/>
      <c r="O25" s="3"/>
      <c r="P25" s="3"/>
      <c r="Q25" s="3"/>
      <c r="R25" s="3"/>
      <c r="S25" s="58"/>
      <c r="T25" s="58"/>
      <c r="U25" s="58"/>
      <c r="V25" s="58"/>
      <c r="W25" s="58">
        <f>H6*H25*100</f>
        <v>7584.7583947606663</v>
      </c>
      <c r="X25" s="58">
        <f>H24*100*(H6-H5)</f>
        <v>3125.1579706471634</v>
      </c>
      <c r="Y25" s="58"/>
      <c r="Z25" s="58"/>
      <c r="AA25" s="58"/>
      <c r="AB25" s="58"/>
      <c r="AC25" s="58"/>
      <c r="AD25" s="58"/>
      <c r="AE25" s="58"/>
      <c r="AF25" s="58"/>
      <c r="AG25" s="58"/>
    </row>
    <row r="26" spans="1:33" ht="16.8" x14ac:dyDescent="0.3">
      <c r="A26" s="47" t="str">
        <f>IF(A25=0,0,IF(VALUE(MID(A25,2,2))&gt;=$D$10,0,"L"&amp;VALUE(MID(A25,2,2))+1))</f>
        <v>L14</v>
      </c>
      <c r="B26" s="10">
        <f>IF(A26&lt;&gt;0,B25*$D$9,0)</f>
        <v>5.2085966177452718</v>
      </c>
      <c r="C26" s="9">
        <f t="shared" si="16"/>
        <v>12500.631882588652</v>
      </c>
      <c r="D26" s="9">
        <f>IF(A26=0,0,($D$7*($D$10-14)))</f>
        <v>24</v>
      </c>
      <c r="G26" s="60">
        <v>16</v>
      </c>
      <c r="H26" s="56">
        <f t="shared" si="13"/>
        <v>13.635710091914175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58"/>
      <c r="T26" s="58"/>
      <c r="U26" s="58"/>
      <c r="V26" s="58"/>
      <c r="W26" s="58"/>
      <c r="X26" s="58">
        <f>H26*H6*100</f>
        <v>12272.139082722759</v>
      </c>
      <c r="Y26" s="58"/>
      <c r="Z26" s="58"/>
      <c r="AA26" s="58"/>
      <c r="AB26" s="58"/>
      <c r="AC26" s="58"/>
      <c r="AD26" s="58"/>
      <c r="AE26" s="58"/>
      <c r="AF26" s="58"/>
      <c r="AG26" s="58"/>
    </row>
    <row r="27" spans="1:33" ht="16.8" x14ac:dyDescent="0.3">
      <c r="A27" s="47" t="str">
        <f>IF(A26=0,0,IF(VALUE(MID(A26,2,2))&gt;=$D$10,0,"L"&amp;VALUE(MID(A26,2,2))+1))</f>
        <v>L15</v>
      </c>
      <c r="B27" s="10">
        <f>IF(A27&lt;&gt;0,B26*$D$9,0)</f>
        <v>8.4275093275118511</v>
      </c>
      <c r="C27" s="9">
        <f t="shared" si="16"/>
        <v>17697.769587774888</v>
      </c>
      <c r="D27" s="9">
        <f>IF(A27=0,0,($D$7*($D$10-15)))</f>
        <v>21</v>
      </c>
      <c r="G27" s="62" t="s">
        <v>51</v>
      </c>
      <c r="H27" s="68">
        <f>SUM(H11:H26)</f>
        <v>35.683784674299567</v>
      </c>
      <c r="I27" s="63">
        <f t="shared" ref="I27:X27" si="23">SUM(I11:I26)</f>
        <v>9</v>
      </c>
      <c r="J27" s="63">
        <f t="shared" si="23"/>
        <v>20.561999999999998</v>
      </c>
      <c r="K27" s="63">
        <f t="shared" si="23"/>
        <v>36.269316000000003</v>
      </c>
      <c r="L27" s="63">
        <f t="shared" si="23"/>
        <v>58.683753288000005</v>
      </c>
      <c r="M27" s="63">
        <f t="shared" si="23"/>
        <v>91.950312819984021</v>
      </c>
      <c r="N27" s="63">
        <f t="shared" si="23"/>
        <v>142.77560614273415</v>
      </c>
      <c r="O27" s="63">
        <f t="shared" si="23"/>
        <v>222.0109307389439</v>
      </c>
      <c r="P27" s="63">
        <f t="shared" si="23"/>
        <v>347.21368593561124</v>
      </c>
      <c r="Q27" s="63">
        <f t="shared" si="23"/>
        <v>546.79174384381906</v>
      </c>
      <c r="R27" s="63">
        <f t="shared" si="23"/>
        <v>866.70904153929916</v>
      </c>
      <c r="S27" s="63">
        <f t="shared" si="23"/>
        <v>1381.335229210586</v>
      </c>
      <c r="T27" s="63">
        <f t="shared" si="23"/>
        <v>2211.0004008627284</v>
      </c>
      <c r="U27" s="63">
        <f t="shared" si="23"/>
        <v>3550.3986485958949</v>
      </c>
      <c r="V27" s="63">
        <f t="shared" si="23"/>
        <v>5714.5450134281591</v>
      </c>
      <c r="W27" s="63">
        <f t="shared" si="23"/>
        <v>9213.1338317267619</v>
      </c>
      <c r="X27" s="63">
        <f t="shared" si="23"/>
        <v>12939.502913873956</v>
      </c>
      <c r="Y27" s="63"/>
      <c r="Z27" s="63"/>
      <c r="AA27" s="63"/>
      <c r="AB27" s="63"/>
      <c r="AC27" s="63"/>
      <c r="AD27" s="63"/>
      <c r="AE27" s="63"/>
      <c r="AF27" s="63"/>
      <c r="AG27" s="63"/>
    </row>
    <row r="28" spans="1:33" ht="16.8" x14ac:dyDescent="0.3">
      <c r="A28" s="47" t="str">
        <f>IF(A27=0,0,IF(VALUE(MID(A27,2,2))&gt;=$D$10,0,"L"&amp;VALUE(MID(A27,2,2))+1))</f>
        <v>L16</v>
      </c>
      <c r="B28" s="10">
        <f>IF(A28&lt;&gt;0,B27*$D$9,0)</f>
        <v>13.635710091914175</v>
      </c>
      <c r="C28" s="9">
        <f t="shared" si="16"/>
        <v>24544.278165445518</v>
      </c>
      <c r="D28" s="9">
        <f>IF(A28=0,0,($D$7*($D$10-16)))</f>
        <v>18</v>
      </c>
      <c r="G28" s="1"/>
      <c r="H28" s="1"/>
      <c r="I28" s="65">
        <f>SUM($H11:$H11)</f>
        <v>0.01</v>
      </c>
      <c r="J28" s="65">
        <f>SUM($H11:$H12)</f>
        <v>2.6180000000000002E-2</v>
      </c>
      <c r="K28" s="65">
        <f>SUM($H11:$H13)</f>
        <v>5.2359240000000001E-2</v>
      </c>
      <c r="L28" s="65">
        <f>SUM($H11:$H14)</f>
        <v>9.4717250320000002E-2</v>
      </c>
      <c r="M28" s="65">
        <f>SUM($H11:$H15)</f>
        <v>0.16325251101776</v>
      </c>
      <c r="N28" s="65">
        <f>SUM($H11:$H16)</f>
        <v>0.27414256282673571</v>
      </c>
      <c r="O28" s="65">
        <f>SUM($H11:$H17)</f>
        <v>0.45356266665365841</v>
      </c>
      <c r="P28" s="65">
        <f>SUM($H11:$H18)</f>
        <v>0.74386439464561938</v>
      </c>
      <c r="Q28" s="65">
        <f>SUM($H11:$H19)</f>
        <v>1.2135725905366122</v>
      </c>
      <c r="R28" s="65">
        <f>SUM($H11:$H20)</f>
        <v>1.9735604514882388</v>
      </c>
      <c r="S28" s="65">
        <f>SUM($H11:$H21)</f>
        <v>3.2032208105079705</v>
      </c>
      <c r="T28" s="65">
        <f>SUM($H11:$H22)</f>
        <v>5.1928112714018964</v>
      </c>
      <c r="U28" s="65">
        <f>SUM($H11:$H23)</f>
        <v>8.4119686371282683</v>
      </c>
      <c r="V28" s="65">
        <f>SUM($H11:$H24)</f>
        <v>13.62056525487354</v>
      </c>
      <c r="W28" s="65">
        <f>SUM($H11:$H25)</f>
        <v>22.048074582385389</v>
      </c>
      <c r="X28" s="65">
        <f>SUM($H11:$H26)</f>
        <v>35.683784674299567</v>
      </c>
      <c r="Y28" s="65"/>
      <c r="Z28" s="65"/>
      <c r="AA28" s="65"/>
      <c r="AB28" s="65"/>
      <c r="AC28" s="65"/>
      <c r="AD28" s="65"/>
      <c r="AE28" s="65"/>
      <c r="AF28" s="65"/>
      <c r="AG28" s="65"/>
    </row>
    <row r="29" spans="1:33" ht="16.8" x14ac:dyDescent="0.3">
      <c r="A29" s="47" t="str">
        <f>IF(A28=0,0,IF(VALUE(MID(A28,2,2))&gt;=$D$10,0,"L"&amp;VALUE(MID(A28,2,2))+1))</f>
        <v>L17</v>
      </c>
      <c r="B29" s="10">
        <f>IF(A29&lt;&gt;0,B28*$D$9,0)</f>
        <v>22.062578928717137</v>
      </c>
      <c r="C29" s="9">
        <f t="shared" si="16"/>
        <v>33093.868393075703</v>
      </c>
      <c r="D29" s="9">
        <f>IF(A29=0,0,($D$7*($D$10-17)))</f>
        <v>15</v>
      </c>
    </row>
    <row r="30" spans="1:33" ht="16.8" x14ac:dyDescent="0.3">
      <c r="A30" s="47" t="str">
        <f>IF(A29=0,0,IF(VALUE(MID(A29,2,2))&gt;=$D$10,0,"L"&amp;VALUE(MID(A29,2,2))+1))</f>
        <v>L18</v>
      </c>
      <c r="B30" s="10">
        <f>IF(A30&lt;&gt;0,B29*$D$9,0)</f>
        <v>35.697252706664329</v>
      </c>
      <c r="C30" s="9">
        <f t="shared" si="16"/>
        <v>42836.703247997197</v>
      </c>
      <c r="D30" s="9">
        <f>IF(A30=0,0,($D$7*($D$10-18)))</f>
        <v>12</v>
      </c>
    </row>
    <row r="31" spans="1:33" ht="16.8" x14ac:dyDescent="0.3">
      <c r="A31" s="47" t="str">
        <f>IF(A30=0,0,IF(VALUE(MID(A30,2,2))&gt;=$D$10,0,"L"&amp;VALUE(MID(A30,2,2))+1))</f>
        <v>L19</v>
      </c>
      <c r="B31" s="10">
        <f>IF(A31&lt;&gt;0,B30*$D$9,0)</f>
        <v>57.758154879382886</v>
      </c>
      <c r="C31" s="9">
        <f t="shared" si="16"/>
        <v>51982.339391444599</v>
      </c>
      <c r="D31" s="9">
        <f>IF(A31=0,0,($D$7*($D$10-19)))</f>
        <v>9</v>
      </c>
    </row>
    <row r="32" spans="1:33" ht="16.8" x14ac:dyDescent="0.3">
      <c r="A32" s="47" t="str">
        <f>IF(A31=0,0,IF(VALUE(MID(A31,2,2))&gt;=$D$10,0,"L"&amp;VALUE(MID(A31,2,2))+1))</f>
        <v>L20</v>
      </c>
      <c r="B32" s="10">
        <f>IF(A32&lt;&gt;0,B31*$D$9,0)</f>
        <v>93.452694594841518</v>
      </c>
      <c r="C32" s="9">
        <f t="shared" si="16"/>
        <v>56071.616756904907</v>
      </c>
      <c r="D32" s="9">
        <f>IF(A32=0,0,($D$7*($D$10-20)))</f>
        <v>6</v>
      </c>
      <c r="G32" s="55" t="s">
        <v>17</v>
      </c>
      <c r="H32" s="55" t="s">
        <v>74</v>
      </c>
      <c r="I32" s="55" t="s">
        <v>19</v>
      </c>
      <c r="J32" s="55" t="s">
        <v>20</v>
      </c>
      <c r="K32" s="55" t="s">
        <v>21</v>
      </c>
      <c r="L32" s="55" t="s">
        <v>22</v>
      </c>
      <c r="M32" s="55" t="s">
        <v>23</v>
      </c>
      <c r="N32" s="55" t="s">
        <v>24</v>
      </c>
      <c r="O32" s="55" t="s">
        <v>25</v>
      </c>
      <c r="P32" s="55" t="s">
        <v>26</v>
      </c>
      <c r="Q32" s="55" t="s">
        <v>27</v>
      </c>
      <c r="R32" s="55" t="s">
        <v>28</v>
      </c>
      <c r="S32" s="55" t="s">
        <v>29</v>
      </c>
      <c r="T32" s="55" t="s">
        <v>30</v>
      </c>
      <c r="U32" s="55" t="s">
        <v>31</v>
      </c>
      <c r="V32" s="55" t="s">
        <v>32</v>
      </c>
      <c r="W32" s="55" t="s">
        <v>33</v>
      </c>
      <c r="X32" s="55" t="s">
        <v>34</v>
      </c>
      <c r="Y32" s="55" t="s">
        <v>94</v>
      </c>
      <c r="Z32" s="55" t="s">
        <v>95</v>
      </c>
      <c r="AA32" s="55" t="s">
        <v>96</v>
      </c>
      <c r="AB32" s="55" t="s">
        <v>97</v>
      </c>
      <c r="AC32" s="55" t="s">
        <v>98</v>
      </c>
      <c r="AD32" s="55" t="s">
        <v>99</v>
      </c>
      <c r="AE32" s="55" t="s">
        <v>100</v>
      </c>
      <c r="AF32" s="55" t="s">
        <v>101</v>
      </c>
      <c r="AG32" s="55" t="s">
        <v>102</v>
      </c>
    </row>
    <row r="33" spans="1:33" ht="16.8" x14ac:dyDescent="0.3">
      <c r="A33" s="47" t="str">
        <f>IF(A32=0,0,IF(VALUE(MID(A32,2,2))&gt;=$D$10,0,"L"&amp;VALUE(MID(A32,2,2))+1))</f>
        <v>L21</v>
      </c>
      <c r="B33" s="10">
        <f>IF(A33&lt;&gt;0,B32*$D$9,0)</f>
        <v>151.20645985445358</v>
      </c>
      <c r="C33" s="9">
        <f t="shared" si="16"/>
        <v>90723.875912672156</v>
      </c>
      <c r="D33" s="9">
        <f>IF(A33=0,0,($D$7*($D$10-20)))</f>
        <v>6</v>
      </c>
      <c r="G33" s="59" t="s">
        <v>73</v>
      </c>
      <c r="H33" s="55" t="s">
        <v>18</v>
      </c>
      <c r="I33" s="55">
        <v>1</v>
      </c>
      <c r="J33" s="55">
        <v>2</v>
      </c>
      <c r="K33" s="55">
        <v>3</v>
      </c>
      <c r="L33" s="55">
        <v>4</v>
      </c>
      <c r="M33" s="55">
        <v>5</v>
      </c>
      <c r="N33" s="55">
        <v>6</v>
      </c>
      <c r="O33" s="55">
        <v>7</v>
      </c>
      <c r="P33" s="55">
        <v>8</v>
      </c>
      <c r="Q33" s="55">
        <v>9</v>
      </c>
      <c r="R33" s="55">
        <v>10</v>
      </c>
      <c r="S33" s="55">
        <v>11</v>
      </c>
      <c r="T33" s="55">
        <v>12</v>
      </c>
      <c r="U33" s="55">
        <v>13</v>
      </c>
      <c r="V33" s="55">
        <v>14</v>
      </c>
      <c r="W33" s="55">
        <v>15</v>
      </c>
      <c r="X33" s="55">
        <v>16</v>
      </c>
      <c r="Y33" s="55">
        <v>17</v>
      </c>
      <c r="Z33" s="55">
        <v>18</v>
      </c>
      <c r="AA33" s="55">
        <v>19</v>
      </c>
      <c r="AB33" s="55">
        <v>20</v>
      </c>
      <c r="AC33" s="55">
        <v>21</v>
      </c>
      <c r="AD33" s="55">
        <v>22</v>
      </c>
      <c r="AE33" s="55">
        <v>23</v>
      </c>
      <c r="AF33" s="55">
        <v>24</v>
      </c>
      <c r="AG33" s="55">
        <v>25</v>
      </c>
    </row>
    <row r="34" spans="1:33" ht="16.8" x14ac:dyDescent="0.3">
      <c r="A34" s="47" t="str">
        <f>IF(A33=0,0,IF(VALUE(MID(A33,2,2))&gt;=$D$10,0,"L"&amp;VALUE(MID(A33,2,2))+1))</f>
        <v>L22</v>
      </c>
      <c r="B34" s="10">
        <f>IF(A34&lt;&gt;0,B33*$D$9,0)</f>
        <v>244.65205204450592</v>
      </c>
      <c r="C34" s="9">
        <f t="shared" si="16"/>
        <v>146791.23122670356</v>
      </c>
      <c r="D34" s="9">
        <f>IF(A34=0,0,($D$7*($D$10-20)))</f>
        <v>6</v>
      </c>
      <c r="G34" s="60">
        <v>1</v>
      </c>
      <c r="H34" s="61">
        <f>'Bảng Input L30'!B13</f>
        <v>0.01</v>
      </c>
      <c r="I34" s="57">
        <f>$H34*100*($H$5*I$33 - $H$5*$H$4)</f>
        <v>-1.8540000000000001</v>
      </c>
      <c r="J34" s="57">
        <f>$H34*100*($H$5*J$33 - $H$5*$H$4)</f>
        <v>1.1459999999999999</v>
      </c>
      <c r="K34" s="57">
        <f>$H34*100*($H$5*K$33 - $H$5*$H$4)</f>
        <v>4.1459999999999999</v>
      </c>
      <c r="L34" s="57">
        <f>$H34*100*($H$5*L$33 - $H$5*$H$4)</f>
        <v>7.1459999999999999</v>
      </c>
      <c r="M34" s="57">
        <f t="shared" ref="M34" si="24">$H$11*100*($H$6-$H$5*L33)</f>
        <v>-3</v>
      </c>
      <c r="N34" s="57">
        <f t="shared" ref="N34" si="25">$H$11*100*($H$6-$H$5*M33)</f>
        <v>-6</v>
      </c>
      <c r="O34" s="57">
        <f t="shared" ref="O34" si="26">$H$11*100*($H$6-$H$5*N33)</f>
        <v>-9</v>
      </c>
      <c r="P34" s="57">
        <f t="shared" ref="P34" si="27">$H$11*100*($H$6-$H$5*O33)</f>
        <v>-12</v>
      </c>
      <c r="Q34" s="57">
        <f t="shared" ref="Q34" si="28">$H$11*100*($H$6-$H$5*P33)</f>
        <v>-15</v>
      </c>
      <c r="R34" s="57">
        <f t="shared" ref="R34" si="29">$H$11*100*($H$6-$H$5*Q33)</f>
        <v>-18</v>
      </c>
      <c r="S34" s="57">
        <f t="shared" ref="S34" si="30">$H$11*100*($H$6-$H$5*R33)</f>
        <v>-21</v>
      </c>
      <c r="T34" s="57">
        <f t="shared" ref="T34" si="31">$H$11*100*($H$6-$H$5*S33)</f>
        <v>-24</v>
      </c>
      <c r="U34" s="57">
        <f t="shared" ref="U34" si="32">$H$11*100*($H$6-$H$5*T33)</f>
        <v>-27</v>
      </c>
      <c r="V34" s="57">
        <f t="shared" ref="V34" si="33">$H$11*100*($H$6-$H$5*U33)</f>
        <v>-30</v>
      </c>
      <c r="W34" s="57">
        <f t="shared" ref="W34" si="34">$H$11*100*($H$6-$H$5*V33)</f>
        <v>-33</v>
      </c>
      <c r="X34" s="57">
        <f t="shared" ref="X34" si="35">$H$11*100*($H$6-$H$5*W33)</f>
        <v>-36</v>
      </c>
      <c r="Y34" s="57"/>
      <c r="Z34" s="57"/>
      <c r="AA34" s="57"/>
      <c r="AB34" s="57"/>
      <c r="AC34" s="57"/>
      <c r="AD34" s="57"/>
      <c r="AE34" s="57"/>
      <c r="AF34" s="57"/>
      <c r="AG34" s="57"/>
    </row>
    <row r="35" spans="1:33" ht="16.8" x14ac:dyDescent="0.3">
      <c r="A35" s="47">
        <f>IF(A34=0,0,IF(VALUE(MID(A34,2,2))&gt;=$D$10,0,"L"&amp;VALUE(MID(A34,2,2))+1))</f>
        <v>0</v>
      </c>
      <c r="B35" s="10">
        <f>IF(A35&lt;&gt;0,B34*$D$9,0)</f>
        <v>0</v>
      </c>
      <c r="C35" s="9">
        <f t="shared" si="16"/>
        <v>0</v>
      </c>
      <c r="D35" s="9">
        <f>IF(A35=0,0,($D$7*($D$10-20)))</f>
        <v>0</v>
      </c>
      <c r="G35" s="60">
        <v>2</v>
      </c>
      <c r="H35" s="56">
        <f t="shared" ref="H35:H49" si="36">H34*$H$4</f>
        <v>1.618E-2</v>
      </c>
      <c r="I35" s="3"/>
      <c r="J35" s="57">
        <f>$H35*100*($H$5*J$33 - $H$5*$H$4)</f>
        <v>1.8542279999999998</v>
      </c>
      <c r="K35" s="57">
        <f>$H35*100*($H$5*K$33 - $H$5*$H$4)</f>
        <v>6.7082279999999992</v>
      </c>
      <c r="L35" s="57">
        <f t="shared" ref="L35:L37" si="37">$H35*100*($H$5*L$33 - $H$5*$H$4)</f>
        <v>11.562227999999999</v>
      </c>
      <c r="M35" s="57">
        <f t="shared" ref="M35" si="38">$H$12*100*($H$6-$H$5*K33)</f>
        <v>0</v>
      </c>
      <c r="N35" s="57">
        <f t="shared" ref="N35" si="39">$H$12*100*($H$6-$H$5*L33)</f>
        <v>-4.8539999999999992</v>
      </c>
      <c r="O35" s="57">
        <f t="shared" ref="O35" si="40">$H$12*100*($H$6-$H$5*M33)</f>
        <v>-9.7079999999999984</v>
      </c>
      <c r="P35" s="57">
        <f t="shared" ref="P35" si="41">$H$12*100*($H$6-$H$5*N33)</f>
        <v>-14.561999999999999</v>
      </c>
      <c r="Q35" s="57">
        <f t="shared" ref="Q35" si="42">$H$12*100*($H$6-$H$5*O33)</f>
        <v>-19.415999999999997</v>
      </c>
      <c r="R35" s="57">
        <f t="shared" ref="R35" si="43">$H$12*100*($H$6-$H$5*P33)</f>
        <v>-24.27</v>
      </c>
      <c r="S35" s="57">
        <f t="shared" ref="S35" si="44">$H$12*100*($H$6-$H$5*Q33)</f>
        <v>-29.123999999999999</v>
      </c>
      <c r="T35" s="57">
        <f t="shared" ref="T35" si="45">$H$12*100*($H$6-$H$5*R33)</f>
        <v>-33.977999999999994</v>
      </c>
      <c r="U35" s="57">
        <f t="shared" ref="U35" si="46">$H$12*100*($H$6-$H$5*S33)</f>
        <v>-38.831999999999994</v>
      </c>
      <c r="V35" s="57">
        <f t="shared" ref="V35" si="47">$H$12*100*($H$6-$H$5*T33)</f>
        <v>-43.686</v>
      </c>
      <c r="W35" s="57">
        <f t="shared" ref="W35" si="48">$H$12*100*($H$6-$H$5*U33)</f>
        <v>-48.54</v>
      </c>
      <c r="X35" s="57">
        <f t="shared" ref="X35" si="49">$H$12*100*($H$6-$H$5*V33)</f>
        <v>-53.393999999999998</v>
      </c>
      <c r="Y35" s="57"/>
      <c r="Z35" s="57"/>
      <c r="AA35" s="57"/>
      <c r="AB35" s="57"/>
      <c r="AC35" s="57"/>
      <c r="AD35" s="57"/>
      <c r="AE35" s="57"/>
      <c r="AF35" s="57"/>
      <c r="AG35" s="57"/>
    </row>
    <row r="36" spans="1:33" ht="16.8" x14ac:dyDescent="0.3">
      <c r="A36" s="47">
        <f>IF(A35=0,0,IF(VALUE(MID(A35,2,2))&gt;=$D$10,0,"L"&amp;VALUE(MID(A35,2,2))+1))</f>
        <v>0</v>
      </c>
      <c r="B36" s="10">
        <f>IF(A36&lt;&gt;0,B35*$D$9,0)</f>
        <v>0</v>
      </c>
      <c r="C36" s="9">
        <f t="shared" si="16"/>
        <v>0</v>
      </c>
      <c r="D36" s="9">
        <f>IF(A36=0,0,($D$7*($D$10-20)))</f>
        <v>0</v>
      </c>
      <c r="G36" s="60">
        <v>3</v>
      </c>
      <c r="H36" s="56">
        <f t="shared" si="36"/>
        <v>2.6179240000000003E-2</v>
      </c>
      <c r="I36" s="3"/>
      <c r="J36" s="3"/>
      <c r="K36" s="57">
        <f>$H36*100*($H$5*K$33 - $H$5*$H$4)</f>
        <v>10.853912904000001</v>
      </c>
      <c r="L36" s="57">
        <f t="shared" si="37"/>
        <v>18.707684904000001</v>
      </c>
      <c r="M36" s="57">
        <f t="shared" ref="M36" si="50">$H$13*100*($H$6-$H$5*J33)</f>
        <v>7.8537720000000011</v>
      </c>
      <c r="N36" s="57">
        <f t="shared" ref="N36" si="51">$H$13*100*($H$6-$H$5*K33)</f>
        <v>0</v>
      </c>
      <c r="O36" s="57">
        <f t="shared" ref="O36" si="52">$H$13*100*($H$6-$H$5*L33)</f>
        <v>-7.8537720000000011</v>
      </c>
      <c r="P36" s="57">
        <f t="shared" ref="P36" si="53">$H$13*100*($H$6-$H$5*M33)</f>
        <v>-15.707544000000002</v>
      </c>
      <c r="Q36" s="57">
        <f t="shared" ref="Q36" si="54">$H$13*100*($H$6-$H$5*N33)</f>
        <v>-23.561316000000005</v>
      </c>
      <c r="R36" s="57">
        <f t="shared" ref="R36" si="55">$H$13*100*($H$6-$H$5*O33)</f>
        <v>-31.415088000000004</v>
      </c>
      <c r="S36" s="57">
        <f t="shared" ref="S36" si="56">$H$13*100*($H$6-$H$5*P33)</f>
        <v>-39.268860000000004</v>
      </c>
      <c r="T36" s="57">
        <f t="shared" ref="T36" si="57">$H$13*100*($H$6-$H$5*Q33)</f>
        <v>-47.12263200000001</v>
      </c>
      <c r="U36" s="57">
        <f t="shared" ref="U36" si="58">$H$13*100*($H$6-$H$5*R33)</f>
        <v>-54.976404000000009</v>
      </c>
      <c r="V36" s="57">
        <f t="shared" ref="V36" si="59">$H$13*100*($H$6-$H$5*S33)</f>
        <v>-62.830176000000009</v>
      </c>
      <c r="W36" s="57">
        <f t="shared" ref="W36" si="60">$H$13*100*($H$6-$H$5*T33)</f>
        <v>-70.683948000000015</v>
      </c>
      <c r="X36" s="57">
        <f t="shared" ref="X36" si="61">$H$13*100*($H$6-$H$5*U33)</f>
        <v>-78.537720000000007</v>
      </c>
      <c r="Y36" s="57"/>
      <c r="Z36" s="57"/>
      <c r="AA36" s="57"/>
      <c r="AB36" s="57"/>
      <c r="AC36" s="57"/>
      <c r="AD36" s="57"/>
      <c r="AE36" s="57"/>
      <c r="AF36" s="57"/>
      <c r="AG36" s="57"/>
    </row>
    <row r="37" spans="1:33" ht="16.8" x14ac:dyDescent="0.3">
      <c r="A37" s="47">
        <f>IF(A36=0,0,IF(VALUE(MID(A36,2,2))&gt;=$D$10,0,"L"&amp;VALUE(MID(A36,2,2))+1))</f>
        <v>0</v>
      </c>
      <c r="B37" s="10">
        <f>IF(A37&lt;&gt;0,B36*$D$9,0)</f>
        <v>0</v>
      </c>
      <c r="C37" s="9">
        <f t="shared" si="16"/>
        <v>0</v>
      </c>
      <c r="D37" s="9">
        <f>IF(A37=0,0,($D$7*($D$10-20)))</f>
        <v>0</v>
      </c>
      <c r="G37" s="60">
        <v>4</v>
      </c>
      <c r="H37" s="56">
        <f t="shared" si="36"/>
        <v>4.2358010320000007E-2</v>
      </c>
      <c r="I37" s="3"/>
      <c r="J37" s="3"/>
      <c r="K37" s="3"/>
      <c r="L37" s="57">
        <f t="shared" si="37"/>
        <v>30.269034174672001</v>
      </c>
      <c r="M37" s="57">
        <f>H37*100*(H29-H28)</f>
        <v>0</v>
      </c>
      <c r="N37" s="57">
        <f t="shared" ref="N37" si="62">$H$14*100*($H$6-$H$5*J33)</f>
        <v>12.707403096</v>
      </c>
      <c r="O37" s="57">
        <f t="shared" ref="O37" si="63">$H$14*100*($H$6-$H$5*K33)</f>
        <v>0</v>
      </c>
      <c r="P37" s="57">
        <f t="shared" ref="P37" si="64">$H$14*100*($H$6-$H$5*L33)</f>
        <v>-12.707403096</v>
      </c>
      <c r="Q37" s="57">
        <f t="shared" ref="Q37" si="65">$H$14*100*($H$6-$H$5*M33)</f>
        <v>-25.414806192</v>
      </c>
      <c r="R37" s="57">
        <f t="shared" ref="R37" si="66">$H$14*100*($H$6-$H$5*N33)</f>
        <v>-38.122209288000001</v>
      </c>
      <c r="S37" s="57">
        <f t="shared" ref="S37" si="67">$H$14*100*($H$6-$H$5*O33)</f>
        <v>-50.829612384000001</v>
      </c>
      <c r="T37" s="57">
        <f t="shared" ref="T37" si="68">$H$14*100*($H$6-$H$5*P33)</f>
        <v>-63.537015480000008</v>
      </c>
      <c r="U37" s="57">
        <f t="shared" ref="U37" si="69">$H$14*100*($H$6-$H$5*Q33)</f>
        <v>-76.244418576000001</v>
      </c>
      <c r="V37" s="57">
        <f t="shared" ref="V37" si="70">$H$14*100*($H$6-$H$5*R33)</f>
        <v>-88.951821672000008</v>
      </c>
      <c r="W37" s="57">
        <f t="shared" ref="W37" si="71">$H$14*100*($H$6-$H$5*S33)</f>
        <v>-101.659224768</v>
      </c>
      <c r="X37" s="57">
        <f t="shared" ref="X37" si="72">$H$14*100*($H$6-$H$5*T33)</f>
        <v>-114.36662786400001</v>
      </c>
      <c r="Y37" s="57"/>
      <c r="Z37" s="57"/>
      <c r="AA37" s="57"/>
      <c r="AB37" s="57"/>
      <c r="AC37" s="57"/>
      <c r="AD37" s="57"/>
      <c r="AE37" s="57"/>
      <c r="AF37" s="57"/>
      <c r="AG37" s="57"/>
    </row>
    <row r="38" spans="1:33" ht="16.8" x14ac:dyDescent="0.3">
      <c r="A38" s="47">
        <f>IF(A37=0,0,IF(VALUE(MID(A37,2,2))&gt;=$D$10,0,"L"&amp;VALUE(MID(A37,2,2))+1))</f>
        <v>0</v>
      </c>
      <c r="B38" s="10">
        <f>IF(A38&lt;&gt;0,B37*$D$9,0)</f>
        <v>0</v>
      </c>
      <c r="C38" s="9">
        <f t="shared" si="16"/>
        <v>0</v>
      </c>
      <c r="D38" s="9">
        <f>IF(A38=0,0,($D$7*($D$10-20)))</f>
        <v>0</v>
      </c>
      <c r="G38" s="60">
        <v>5</v>
      </c>
      <c r="H38" s="56">
        <f t="shared" si="36"/>
        <v>6.8535260697760017E-2</v>
      </c>
      <c r="I38" s="4"/>
      <c r="J38" s="3"/>
      <c r="K38" s="3"/>
      <c r="L38" s="3"/>
      <c r="M38" s="57">
        <f>H38*H29*100</f>
        <v>0</v>
      </c>
      <c r="N38" s="57">
        <f>H38*100*(H29-H28)</f>
        <v>0</v>
      </c>
      <c r="O38" s="57">
        <f t="shared" ref="O38" si="73">$H$15*100*($H$6-$H$5*J33)</f>
        <v>20.560578209328003</v>
      </c>
      <c r="P38" s="57">
        <f t="shared" ref="P38" si="74">$H$15*100*($H$6-$H$5*K33)</f>
        <v>0</v>
      </c>
      <c r="Q38" s="57">
        <f t="shared" ref="Q38" si="75">$H$15*100*($H$6-$H$5*L33)</f>
        <v>-20.560578209328003</v>
      </c>
      <c r="R38" s="57">
        <f t="shared" ref="R38" si="76">$H$15*100*($H$6-$H$5*M33)</f>
        <v>-41.121156418656007</v>
      </c>
      <c r="S38" s="57">
        <f t="shared" ref="S38" si="77">$H$15*100*($H$6-$H$5*N33)</f>
        <v>-61.681734627984014</v>
      </c>
      <c r="T38" s="57">
        <f t="shared" ref="T38" si="78">$H$15*100*($H$6-$H$5*O33)</f>
        <v>-82.242312837312014</v>
      </c>
      <c r="U38" s="57">
        <f t="shared" ref="U38" si="79">$H$15*100*($H$6-$H$5*P33)</f>
        <v>-102.80289104664003</v>
      </c>
      <c r="V38" s="57">
        <f t="shared" ref="V38" si="80">$H$15*100*($H$6-$H$5*Q33)</f>
        <v>-123.36346925596803</v>
      </c>
      <c r="W38" s="57">
        <f t="shared" ref="W38" si="81">$H$15*100*($H$6-$H$5*R33)</f>
        <v>-143.92404746529604</v>
      </c>
      <c r="X38" s="57">
        <f t="shared" ref="X38" si="82">$H$15*100*($H$6-$H$5*S33)</f>
        <v>-164.48462567462403</v>
      </c>
      <c r="Y38" s="57"/>
      <c r="Z38" s="57"/>
      <c r="AA38" s="57"/>
      <c r="AB38" s="57"/>
      <c r="AC38" s="57"/>
      <c r="AD38" s="57"/>
      <c r="AE38" s="57"/>
      <c r="AF38" s="57"/>
      <c r="AG38" s="57"/>
    </row>
    <row r="39" spans="1:33" ht="16.8" x14ac:dyDescent="0.3">
      <c r="A39" s="47">
        <f>IF(A38=0,0,IF(VALUE(MID(A38,2,2))&gt;=$D$10,0,"L"&amp;VALUE(MID(A38,2,2))+1))</f>
        <v>0</v>
      </c>
      <c r="B39" s="10">
        <f>IF(A39&lt;&gt;0,B38*$D$9,0)</f>
        <v>0</v>
      </c>
      <c r="C39" s="9">
        <f t="shared" si="16"/>
        <v>0</v>
      </c>
      <c r="D39" s="9">
        <f>IF(A39=0,0,($D$7*($D$10-20)))</f>
        <v>0</v>
      </c>
      <c r="G39" s="60">
        <v>6</v>
      </c>
      <c r="H39" s="56">
        <f t="shared" si="36"/>
        <v>0.11089005180897571</v>
      </c>
      <c r="I39" s="3"/>
      <c r="J39" s="3"/>
      <c r="K39" s="3"/>
      <c r="L39" s="3"/>
      <c r="M39" s="3"/>
      <c r="N39" s="57">
        <f>H39*H29*100</f>
        <v>0</v>
      </c>
      <c r="O39" s="57">
        <f>H39*100*(H29-H28)</f>
        <v>0</v>
      </c>
      <c r="P39" s="57">
        <f t="shared" ref="P39" si="83">$H$16*100*($H$6-$H$5*J33)</f>
        <v>33.267015542692711</v>
      </c>
      <c r="Q39" s="57">
        <f t="shared" ref="Q39" si="84">$H$16*100*($H$6-$H$5*K33)</f>
        <v>0</v>
      </c>
      <c r="R39" s="57">
        <f t="shared" ref="R39" si="85">$H$16*100*($H$6-$H$5*L33)</f>
        <v>-33.267015542692711</v>
      </c>
      <c r="S39" s="57">
        <f t="shared" ref="S39" si="86">$H$16*100*($H$6-$H$5*M33)</f>
        <v>-66.534031085385422</v>
      </c>
      <c r="T39" s="57">
        <f t="shared" ref="T39" si="87">$H$16*100*($H$6-$H$5*N33)</f>
        <v>-99.80104662807814</v>
      </c>
      <c r="U39" s="57">
        <f t="shared" ref="U39" si="88">$H$16*100*($H$6-$H$5*O33)</f>
        <v>-133.06806217077084</v>
      </c>
      <c r="V39" s="57">
        <f t="shared" ref="V39" si="89">$H$16*100*($H$6-$H$5*P33)</f>
        <v>-166.33507771346356</v>
      </c>
      <c r="W39" s="57">
        <f t="shared" ref="W39" si="90">$H$16*100*($H$6-$H$5*Q33)</f>
        <v>-199.60209325615628</v>
      </c>
      <c r="X39" s="57">
        <f t="shared" ref="X39" si="91">$H$16*100*($H$6-$H$5*R33)</f>
        <v>-232.869108798849</v>
      </c>
      <c r="Y39" s="57"/>
      <c r="Z39" s="57"/>
      <c r="AA39" s="57"/>
      <c r="AB39" s="57"/>
      <c r="AC39" s="57"/>
      <c r="AD39" s="57"/>
      <c r="AE39" s="57"/>
      <c r="AF39" s="57"/>
      <c r="AG39" s="57"/>
    </row>
    <row r="40" spans="1:33" ht="16.8" x14ac:dyDescent="0.3">
      <c r="A40" s="47">
        <f>IF(A39=0,0,IF(VALUE(MID(A39,2,2))&gt;=$D$10,0,"L"&amp;VALUE(MID(A39,2,2))+1))</f>
        <v>0</v>
      </c>
      <c r="B40" s="10">
        <f>IF(A40&lt;&gt;0,B39*$D$9,0)</f>
        <v>0</v>
      </c>
      <c r="C40" s="9">
        <f t="shared" si="16"/>
        <v>0</v>
      </c>
      <c r="D40" s="9">
        <f>IF(A40=0,0,($D$7*($D$10-20)))</f>
        <v>0</v>
      </c>
      <c r="G40" s="60">
        <v>7</v>
      </c>
      <c r="H40" s="56">
        <f t="shared" si="36"/>
        <v>0.17942010382692272</v>
      </c>
      <c r="I40" s="3"/>
      <c r="J40" s="3"/>
      <c r="K40" s="3"/>
      <c r="L40" s="3"/>
      <c r="M40" s="3"/>
      <c r="N40" s="3"/>
      <c r="O40" s="57">
        <f>H29*H40*100</f>
        <v>0</v>
      </c>
      <c r="P40" s="57">
        <f>H40*100*(H29-H28)</f>
        <v>0</v>
      </c>
      <c r="Q40" s="57">
        <f t="shared" ref="Q40" si="92">$H$17*100*($H$6-$H$5*J33)</f>
        <v>53.826031148076808</v>
      </c>
      <c r="R40" s="57">
        <f t="shared" ref="R40" si="93">$H$17*100*($H$6-$H$5*K33)</f>
        <v>0</v>
      </c>
      <c r="S40" s="57">
        <f t="shared" ref="S40" si="94">$H$17*100*($H$6-$H$5*L33)</f>
        <v>-53.826031148076808</v>
      </c>
      <c r="T40" s="57">
        <f t="shared" ref="T40" si="95">$H$17*100*($H$6-$H$5*M33)</f>
        <v>-107.65206229615362</v>
      </c>
      <c r="U40" s="57">
        <f t="shared" ref="U40" si="96">$H$17*100*($H$6-$H$5*N33)</f>
        <v>-161.47809344423044</v>
      </c>
      <c r="V40" s="57">
        <f t="shared" ref="V40" si="97">$H$17*100*($H$6-$H$5*O33)</f>
        <v>-215.30412459230723</v>
      </c>
      <c r="W40" s="57">
        <f t="shared" ref="W40" si="98">$H$17*100*($H$6-$H$5*P33)</f>
        <v>-269.13015574038405</v>
      </c>
      <c r="X40" s="57">
        <f t="shared" ref="X40" si="99">$H$17*100*($H$6-$H$5*Q33)</f>
        <v>-322.95618688846088</v>
      </c>
      <c r="Y40" s="57"/>
      <c r="Z40" s="57"/>
      <c r="AA40" s="57"/>
      <c r="AB40" s="57"/>
      <c r="AC40" s="57"/>
      <c r="AD40" s="57"/>
      <c r="AE40" s="57"/>
      <c r="AF40" s="57"/>
      <c r="AG40" s="57"/>
    </row>
    <row r="41" spans="1:33" ht="16.8" x14ac:dyDescent="0.3">
      <c r="A41" s="47">
        <f>IF(A40=0,0,IF(VALUE(MID(A40,2,2))&gt;=$D$10,0,"L"&amp;VALUE(MID(A40,2,2))+1))</f>
        <v>0</v>
      </c>
      <c r="B41" s="10">
        <f>IF(A41&lt;&gt;0,B40*$D$9,0)</f>
        <v>0</v>
      </c>
      <c r="C41" s="9">
        <f t="shared" si="16"/>
        <v>0</v>
      </c>
      <c r="D41" s="9">
        <f>IF(A41=0,0,($D$7*($D$10-20)))</f>
        <v>0</v>
      </c>
      <c r="G41" s="60">
        <v>8</v>
      </c>
      <c r="H41" s="56">
        <f t="shared" si="36"/>
        <v>0.29030172799196097</v>
      </c>
      <c r="I41" s="3"/>
      <c r="J41" s="3"/>
      <c r="K41" s="3"/>
      <c r="L41" s="3"/>
      <c r="M41" s="3"/>
      <c r="N41" s="3"/>
      <c r="O41" s="3"/>
      <c r="P41" s="57">
        <f>H29*H41*100</f>
        <v>0</v>
      </c>
      <c r="Q41" s="57">
        <f>H41*100*(H29-H28)</f>
        <v>0</v>
      </c>
      <c r="R41" s="57">
        <f t="shared" ref="R41" si="100">$H$18*100*($H$6-$H$5*J33)</f>
        <v>87.090518397588298</v>
      </c>
      <c r="S41" s="57">
        <f t="shared" ref="S41" si="101">$H$18*100*($H$6-$H$5*K33)</f>
        <v>0</v>
      </c>
      <c r="T41" s="57">
        <f t="shared" ref="T41" si="102">$H$18*100*($H$6-$H$5*L33)</f>
        <v>-87.090518397588298</v>
      </c>
      <c r="U41" s="57">
        <f t="shared" ref="U41" si="103">$H$18*100*($H$6-$H$5*M33)</f>
        <v>-174.1810367951766</v>
      </c>
      <c r="V41" s="57">
        <f t="shared" ref="V41" si="104">$H$18*100*($H$6-$H$5*N33)</f>
        <v>-261.27155519276488</v>
      </c>
      <c r="W41" s="57">
        <f t="shared" ref="W41" si="105">$H$18*100*($H$6-$H$5*O33)</f>
        <v>-348.36207359035319</v>
      </c>
      <c r="X41" s="57">
        <f t="shared" ref="X41" si="106">$H$18*100*($H$6-$H$5*P33)</f>
        <v>-435.45259198794145</v>
      </c>
      <c r="Y41" s="57"/>
      <c r="Z41" s="57"/>
      <c r="AA41" s="57"/>
      <c r="AB41" s="57"/>
      <c r="AC41" s="57"/>
      <c r="AD41" s="57"/>
      <c r="AE41" s="57"/>
      <c r="AF41" s="57"/>
      <c r="AG41" s="57"/>
    </row>
    <row r="42" spans="1:33" ht="16.8" x14ac:dyDescent="0.3">
      <c r="A42" s="47">
        <f>IF(A41=0,0,IF(VALUE(MID(A41,2,2))&gt;=$D$10,0,"L"&amp;VALUE(MID(A41,2,2))+1))</f>
        <v>0</v>
      </c>
      <c r="B42" s="10">
        <f>IF(A42&lt;&gt;0,B41*$D$9,0)</f>
        <v>0</v>
      </c>
      <c r="C42" s="9">
        <f t="shared" si="16"/>
        <v>0</v>
      </c>
      <c r="D42" s="9">
        <f>IF(A42=0,0,($D$7*($D$10-20)))</f>
        <v>0</v>
      </c>
      <c r="G42" s="60">
        <v>9</v>
      </c>
      <c r="H42" s="56">
        <f t="shared" si="36"/>
        <v>0.46970819589099289</v>
      </c>
      <c r="I42" s="3"/>
      <c r="J42" s="3"/>
      <c r="K42" s="3"/>
      <c r="L42" s="3"/>
      <c r="M42" s="3"/>
      <c r="N42" s="3"/>
      <c r="O42" s="3"/>
      <c r="P42" s="3"/>
      <c r="Q42" s="57">
        <f>H29*H42*100</f>
        <v>0</v>
      </c>
      <c r="R42" s="57">
        <f>H42*100*(H29-H28)</f>
        <v>0</v>
      </c>
      <c r="S42" s="57">
        <f t="shared" ref="S42" si="107">$H$19*100*($H$6-$H$5*J33)</f>
        <v>140.91245876729786</v>
      </c>
      <c r="T42" s="57">
        <f t="shared" ref="T42" si="108">$H$19*100*($H$6-$H$5*K33)</f>
        <v>0</v>
      </c>
      <c r="U42" s="57">
        <f t="shared" ref="U42" si="109">$H$19*100*($H$6-$H$5*L33)</f>
        <v>-140.91245876729786</v>
      </c>
      <c r="V42" s="57">
        <f t="shared" ref="V42" si="110">$H$19*100*($H$6-$H$5*M33)</f>
        <v>-281.82491753459573</v>
      </c>
      <c r="W42" s="57">
        <f t="shared" ref="W42" si="111">$H$19*100*($H$6-$H$5*N33)</f>
        <v>-422.73737630189356</v>
      </c>
      <c r="X42" s="57">
        <f t="shared" ref="X42" si="112">$H$19*100*($H$6-$H$5*O33)</f>
        <v>-563.64983506919145</v>
      </c>
      <c r="Y42" s="57"/>
      <c r="Z42" s="57"/>
      <c r="AA42" s="57"/>
      <c r="AB42" s="57"/>
      <c r="AC42" s="57"/>
      <c r="AD42" s="57"/>
      <c r="AE42" s="57"/>
      <c r="AF42" s="57"/>
      <c r="AG42" s="57"/>
    </row>
    <row r="43" spans="1:33" ht="17.399999999999999" thickBot="1" x14ac:dyDescent="0.35">
      <c r="A43" s="47">
        <f>IF(A42=0,0,IF(VALUE(MID(A42,2,2))&gt;=$D$10,0,"L"&amp;VALUE(MID(A42,2,2))+1))</f>
        <v>0</v>
      </c>
      <c r="B43" s="10">
        <f>IF(A43&lt;&gt;0,B42*$D$9,0)</f>
        <v>0</v>
      </c>
      <c r="C43" s="9">
        <f t="shared" si="16"/>
        <v>0</v>
      </c>
      <c r="D43" s="9">
        <f>IF(A43=0,0,($D$7*($D$10-20)))</f>
        <v>0</v>
      </c>
      <c r="G43" s="60">
        <v>10</v>
      </c>
      <c r="H43" s="56">
        <f t="shared" si="36"/>
        <v>0.75998786095162651</v>
      </c>
      <c r="I43" s="3"/>
      <c r="J43" s="3"/>
      <c r="K43" s="3"/>
      <c r="L43" s="3"/>
      <c r="M43" s="3"/>
      <c r="N43" s="3"/>
      <c r="O43" s="3"/>
      <c r="P43" s="3"/>
      <c r="Q43" s="3"/>
      <c r="R43" s="57">
        <f>H29*H43*100</f>
        <v>0</v>
      </c>
      <c r="S43" s="57">
        <f>H43*100*(H29-H28)</f>
        <v>0</v>
      </c>
      <c r="T43" s="57">
        <f>$H$20*100*($H$6-$H$5*J33)</f>
        <v>227.99635828548799</v>
      </c>
      <c r="U43" s="57">
        <f>$H$20*100*($H$6-$H$5*K33)</f>
        <v>0</v>
      </c>
      <c r="V43" s="57">
        <f>$H$20*100*($H$6-$H$5*L33)</f>
        <v>-227.99635828548799</v>
      </c>
      <c r="W43" s="57">
        <f>$H$20*100*($H$6-$H$5*M33)</f>
        <v>-455.99271657097597</v>
      </c>
      <c r="X43" s="57">
        <f>$H$20*100*($H$6-$H$5*N33)</f>
        <v>-683.98907485646396</v>
      </c>
      <c r="Y43" s="57"/>
      <c r="Z43" s="57"/>
      <c r="AA43" s="57"/>
      <c r="AB43" s="57"/>
      <c r="AC43" s="57"/>
      <c r="AD43" s="57"/>
      <c r="AE43" s="57"/>
      <c r="AF43" s="57"/>
      <c r="AG43" s="57"/>
    </row>
    <row r="44" spans="1:33" ht="18" thickTop="1" thickBot="1" x14ac:dyDescent="0.3">
      <c r="A44" s="73" t="s">
        <v>12</v>
      </c>
      <c r="B44" s="74"/>
      <c r="C44" s="48">
        <f>SUM(C13:C43)</f>
        <v>502975.00300967303</v>
      </c>
      <c r="D44" s="49">
        <f>MAX(D13:D43)</f>
        <v>63</v>
      </c>
      <c r="G44" s="60">
        <v>11</v>
      </c>
      <c r="H44" s="56">
        <f t="shared" si="36"/>
        <v>1.2296603590197317</v>
      </c>
      <c r="I44" s="3"/>
      <c r="J44" s="3"/>
      <c r="K44" s="3"/>
      <c r="L44" s="3"/>
      <c r="M44" s="3"/>
      <c r="N44" s="3"/>
      <c r="O44" s="3"/>
      <c r="P44" s="3"/>
      <c r="Q44" s="3"/>
      <c r="R44" s="3"/>
      <c r="S44" s="58">
        <f>H29*H44*100</f>
        <v>0</v>
      </c>
      <c r="T44" s="58">
        <f>H44*100*(H29-H28)</f>
        <v>0</v>
      </c>
      <c r="U44" s="58">
        <f>$H$21*100*($H$6-$H$5*J33)</f>
        <v>368.89810770591953</v>
      </c>
      <c r="V44" s="58">
        <f>$H$21*100*($H$6-$H$5*K33)</f>
        <v>0</v>
      </c>
      <c r="W44" s="58">
        <f>$H$21*100*($H$6-$H$5*L33)</f>
        <v>-368.89810770591953</v>
      </c>
      <c r="X44" s="58">
        <f>$H$21*100*($H$6-$H$5*M33)</f>
        <v>-737.79621541183906</v>
      </c>
      <c r="Y44" s="58"/>
      <c r="Z44" s="58"/>
      <c r="AA44" s="58"/>
      <c r="AB44" s="58"/>
      <c r="AC44" s="58"/>
      <c r="AD44" s="58"/>
      <c r="AE44" s="58"/>
      <c r="AF44" s="58"/>
      <c r="AG44" s="58"/>
    </row>
    <row r="45" spans="1:33" ht="15.6" thickTop="1" x14ac:dyDescent="0.25">
      <c r="G45" s="60">
        <v>12</v>
      </c>
      <c r="H45" s="56">
        <f t="shared" si="36"/>
        <v>1.9895904608939261</v>
      </c>
      <c r="I45" s="3"/>
      <c r="J45" s="3"/>
      <c r="K45" s="3"/>
      <c r="L45" s="3"/>
      <c r="M45" s="3"/>
      <c r="N45" s="3"/>
      <c r="O45" s="3"/>
      <c r="P45" s="3"/>
      <c r="Q45" s="3"/>
      <c r="R45" s="3"/>
      <c r="S45" s="58"/>
      <c r="T45" s="58">
        <f>H29*H45*100</f>
        <v>0</v>
      </c>
      <c r="U45" s="58">
        <f>H45*100*(H29-H28)</f>
        <v>0</v>
      </c>
      <c r="V45" s="58">
        <f>$H$22*100*($H$6-$H$5*J33)</f>
        <v>596.87713826817787</v>
      </c>
      <c r="W45" s="58">
        <f>$H$22*100*($H$6-$H$5*K33)</f>
        <v>0</v>
      </c>
      <c r="X45" s="58">
        <f>$H$22*100*($H$6-$H$5*L33)</f>
        <v>-596.87713826817787</v>
      </c>
      <c r="Y45" s="58"/>
      <c r="Z45" s="58"/>
      <c r="AA45" s="58"/>
      <c r="AB45" s="58"/>
      <c r="AC45" s="58"/>
      <c r="AD45" s="58"/>
      <c r="AE45" s="58"/>
      <c r="AF45" s="58"/>
      <c r="AG45" s="58"/>
    </row>
    <row r="46" spans="1:33" ht="15" x14ac:dyDescent="0.25">
      <c r="G46" s="60">
        <v>13</v>
      </c>
      <c r="H46" s="56">
        <f t="shared" si="36"/>
        <v>3.2191573657263728</v>
      </c>
      <c r="I46" s="3"/>
      <c r="J46" s="3"/>
      <c r="K46" s="3"/>
      <c r="L46" s="3"/>
      <c r="M46" s="3"/>
      <c r="N46" s="3"/>
      <c r="O46" s="3"/>
      <c r="P46" s="3"/>
      <c r="Q46" s="3"/>
      <c r="R46" s="3"/>
      <c r="S46" s="58"/>
      <c r="T46" s="58"/>
      <c r="U46" s="58">
        <f>H29*H46*100</f>
        <v>0</v>
      </c>
      <c r="V46" s="58">
        <f>H46*100*(H29-H28)</f>
        <v>0</v>
      </c>
      <c r="W46" s="58">
        <f>$H$23*100*($H$6-$H$5*J33)</f>
        <v>965.7472097179118</v>
      </c>
      <c r="X46" s="58">
        <f>$H$23*100*($H$6-$H$5*K33)</f>
        <v>0</v>
      </c>
      <c r="Y46" s="58"/>
      <c r="Z46" s="58"/>
      <c r="AA46" s="58"/>
      <c r="AB46" s="58"/>
      <c r="AC46" s="58"/>
      <c r="AD46" s="58"/>
      <c r="AE46" s="58"/>
      <c r="AF46" s="58"/>
      <c r="AG46" s="58"/>
    </row>
    <row r="47" spans="1:33" ht="15" x14ac:dyDescent="0.25">
      <c r="G47" s="60">
        <v>14</v>
      </c>
      <c r="H47" s="56">
        <f t="shared" si="36"/>
        <v>5.2085966177452718</v>
      </c>
      <c r="I47" s="3"/>
      <c r="J47" s="3"/>
      <c r="K47" s="3"/>
      <c r="L47" s="3"/>
      <c r="M47" s="3"/>
      <c r="N47" s="3"/>
      <c r="O47" s="3"/>
      <c r="P47" s="3"/>
      <c r="Q47" s="3"/>
      <c r="R47" s="3"/>
      <c r="S47" s="58"/>
      <c r="T47" s="58"/>
      <c r="U47" s="58"/>
      <c r="V47" s="58">
        <f>H29*H47*100</f>
        <v>0</v>
      </c>
      <c r="W47" s="58">
        <f>H47*100*(H29-H28)</f>
        <v>0</v>
      </c>
      <c r="X47" s="58">
        <f>$H$24*100*($H$6-$H$5*J33)</f>
        <v>1562.5789853235817</v>
      </c>
      <c r="Y47" s="58"/>
      <c r="Z47" s="58"/>
      <c r="AA47" s="58"/>
      <c r="AB47" s="58"/>
      <c r="AC47" s="58"/>
      <c r="AD47" s="58"/>
      <c r="AE47" s="58"/>
      <c r="AF47" s="58"/>
      <c r="AG47" s="58"/>
    </row>
    <row r="48" spans="1:33" ht="15" x14ac:dyDescent="0.25">
      <c r="G48" s="60">
        <v>15</v>
      </c>
      <c r="H48" s="56">
        <f t="shared" si="36"/>
        <v>8.4275093275118511</v>
      </c>
      <c r="I48" s="3"/>
      <c r="J48" s="3"/>
      <c r="K48" s="3"/>
      <c r="L48" s="3"/>
      <c r="M48" s="3"/>
      <c r="N48" s="3"/>
      <c r="O48" s="3"/>
      <c r="P48" s="3"/>
      <c r="Q48" s="3"/>
      <c r="R48" s="3"/>
      <c r="S48" s="58"/>
      <c r="T48" s="58"/>
      <c r="U48" s="58"/>
      <c r="V48" s="58"/>
      <c r="W48" s="58">
        <f>H29*H48*100</f>
        <v>0</v>
      </c>
      <c r="X48" s="58">
        <f>H47*100*(H29-H28)</f>
        <v>0</v>
      </c>
      <c r="Y48" s="58"/>
      <c r="Z48" s="58"/>
      <c r="AA48" s="58"/>
      <c r="AB48" s="58"/>
      <c r="AC48" s="58"/>
      <c r="AD48" s="58"/>
      <c r="AE48" s="58"/>
      <c r="AF48" s="58"/>
      <c r="AG48" s="58"/>
    </row>
    <row r="49" spans="7:33" ht="15" x14ac:dyDescent="0.25">
      <c r="G49" s="60">
        <v>16</v>
      </c>
      <c r="H49" s="56">
        <f t="shared" si="36"/>
        <v>13.635710091914175</v>
      </c>
      <c r="I49" s="3"/>
      <c r="J49" s="3"/>
      <c r="K49" s="3"/>
      <c r="L49" s="3"/>
      <c r="M49" s="3"/>
      <c r="N49" s="3"/>
      <c r="O49" s="3"/>
      <c r="P49" s="3"/>
      <c r="Q49" s="3"/>
      <c r="R49" s="3"/>
      <c r="S49" s="58"/>
      <c r="T49" s="58"/>
      <c r="U49" s="58"/>
      <c r="V49" s="58"/>
      <c r="W49" s="58"/>
      <c r="X49" s="58">
        <f>H49*H29*100</f>
        <v>0</v>
      </c>
      <c r="Y49" s="58"/>
      <c r="Z49" s="58"/>
      <c r="AA49" s="58"/>
      <c r="AB49" s="58"/>
      <c r="AC49" s="58"/>
      <c r="AD49" s="58"/>
      <c r="AE49" s="58"/>
      <c r="AF49" s="58"/>
      <c r="AG49" s="58"/>
    </row>
    <row r="50" spans="7:33" ht="15" x14ac:dyDescent="0.25">
      <c r="G50" s="62" t="s">
        <v>51</v>
      </c>
      <c r="H50" s="68">
        <f>SUM(H34:H49)</f>
        <v>35.683784674299567</v>
      </c>
      <c r="I50" s="63">
        <f t="shared" ref="I50:X50" si="113">SUM(I34:I49)</f>
        <v>-1.8540000000000001</v>
      </c>
      <c r="J50" s="63">
        <f t="shared" si="113"/>
        <v>3.0002279999999999</v>
      </c>
      <c r="K50" s="63">
        <f t="shared" si="113"/>
        <v>21.708140904</v>
      </c>
      <c r="L50" s="63">
        <f t="shared" si="113"/>
        <v>67.684947078671996</v>
      </c>
      <c r="M50" s="63">
        <f t="shared" si="113"/>
        <v>4.8537720000000011</v>
      </c>
      <c r="N50" s="63">
        <f t="shared" si="113"/>
        <v>1.853403096000001</v>
      </c>
      <c r="O50" s="63">
        <f t="shared" si="113"/>
        <v>-6.0011937906719943</v>
      </c>
      <c r="P50" s="63">
        <f t="shared" si="113"/>
        <v>-21.709931553307285</v>
      </c>
      <c r="Q50" s="63">
        <f t="shared" si="113"/>
        <v>-50.126669253251194</v>
      </c>
      <c r="R50" s="63">
        <f t="shared" si="113"/>
        <v>-99.104950851760421</v>
      </c>
      <c r="S50" s="63">
        <f t="shared" si="113"/>
        <v>-181.35181047814839</v>
      </c>
      <c r="T50" s="63">
        <f t="shared" si="113"/>
        <v>-317.42722935364407</v>
      </c>
      <c r="U50" s="63">
        <f t="shared" si="113"/>
        <v>-540.59725709419627</v>
      </c>
      <c r="V50" s="63">
        <f t="shared" si="113"/>
        <v>-904.68636197840954</v>
      </c>
      <c r="W50" s="63">
        <f t="shared" si="113"/>
        <v>-1496.7825336810672</v>
      </c>
      <c r="X50" s="63">
        <f t="shared" si="113"/>
        <v>-2457.7941394959662</v>
      </c>
      <c r="Y50" s="63"/>
      <c r="Z50" s="63"/>
      <c r="AA50" s="63"/>
      <c r="AB50" s="63"/>
      <c r="AC50" s="63"/>
      <c r="AD50" s="63"/>
      <c r="AE50" s="63"/>
      <c r="AF50" s="63"/>
      <c r="AG50" s="63"/>
    </row>
    <row r="51" spans="7:33" x14ac:dyDescent="0.25">
      <c r="G51" s="1"/>
      <c r="H51" s="1"/>
      <c r="I51" s="65">
        <f>SUM($H34:$H34)</f>
        <v>0.01</v>
      </c>
      <c r="J51" s="65">
        <f>SUM($H34:$H35)</f>
        <v>2.6180000000000002E-2</v>
      </c>
      <c r="K51" s="65">
        <f>SUM($H34:$H36)</f>
        <v>5.2359240000000001E-2</v>
      </c>
      <c r="L51" s="65">
        <f>SUM($H34:$H37)</f>
        <v>9.4717250320000002E-2</v>
      </c>
      <c r="M51" s="65">
        <f>SUM($H34:$H38)</f>
        <v>0.16325251101776</v>
      </c>
      <c r="N51" s="65">
        <f>SUM($H34:$H39)</f>
        <v>0.27414256282673571</v>
      </c>
      <c r="O51" s="65">
        <f>SUM($H34:$H40)</f>
        <v>0.45356266665365841</v>
      </c>
      <c r="P51" s="65">
        <f>SUM($H34:$H41)</f>
        <v>0.74386439464561938</v>
      </c>
      <c r="Q51" s="65">
        <f>SUM($H34:$H42)</f>
        <v>1.2135725905366122</v>
      </c>
      <c r="R51" s="65">
        <f>SUM($H34:$H43)</f>
        <v>1.9735604514882388</v>
      </c>
      <c r="S51" s="65">
        <f>SUM($H34:$H44)</f>
        <v>3.2032208105079705</v>
      </c>
      <c r="T51" s="65">
        <f>SUM($H34:$H45)</f>
        <v>5.1928112714018964</v>
      </c>
      <c r="U51" s="65">
        <f>SUM($H34:$H46)</f>
        <v>8.4119686371282683</v>
      </c>
      <c r="V51" s="65">
        <f>SUM($H34:$H47)</f>
        <v>13.62056525487354</v>
      </c>
      <c r="W51" s="65">
        <f>SUM($H34:$H48)</f>
        <v>22.048074582385389</v>
      </c>
      <c r="X51" s="65">
        <f>SUM($H34:$H49)</f>
        <v>35.683784674299567</v>
      </c>
      <c r="Y51" s="65"/>
      <c r="Z51" s="65"/>
      <c r="AA51" s="65"/>
      <c r="AB51" s="65"/>
      <c r="AC51" s="65"/>
      <c r="AD51" s="65"/>
      <c r="AE51" s="65"/>
      <c r="AF51" s="65"/>
      <c r="AG51" s="65"/>
    </row>
  </sheetData>
  <protectedRanges>
    <protectedRange sqref="D2:D10" name="DATA_2"/>
  </protectedRanges>
  <mergeCells count="8">
    <mergeCell ref="A1:D1"/>
    <mergeCell ref="A44:B44"/>
    <mergeCell ref="J3:K3"/>
    <mergeCell ref="L3:M3"/>
    <mergeCell ref="N3:P3"/>
    <mergeCell ref="J2:K2"/>
    <mergeCell ref="L2:M2"/>
    <mergeCell ref="N2:P2"/>
  </mergeCells>
  <phoneticPr fontId="8"/>
  <conditionalFormatting sqref="I10 I33">
    <cfRule type="expression" dxfId="15" priority="49">
      <formula>$I$10=$D$10</formula>
    </cfRule>
  </conditionalFormatting>
  <conditionalFormatting sqref="J10 J33">
    <cfRule type="expression" dxfId="14" priority="50">
      <formula>$J$10=$D$10</formula>
    </cfRule>
  </conditionalFormatting>
  <conditionalFormatting sqref="K10 K33">
    <cfRule type="expression" dxfId="13" priority="51">
      <formula>$K$10=$D$10</formula>
    </cfRule>
  </conditionalFormatting>
  <conditionalFormatting sqref="L10 L33">
    <cfRule type="expression" dxfId="12" priority="52">
      <formula>$L$10=$D$10</formula>
    </cfRule>
  </conditionalFormatting>
  <conditionalFormatting sqref="M10 M33">
    <cfRule type="expression" dxfId="11" priority="53">
      <formula>$M$10=$D$10</formula>
    </cfRule>
  </conditionalFormatting>
  <conditionalFormatting sqref="N10 N33">
    <cfRule type="expression" dxfId="10" priority="54">
      <formula>$N$10=$D$10</formula>
    </cfRule>
  </conditionalFormatting>
  <conditionalFormatting sqref="O10 O33">
    <cfRule type="expression" dxfId="9" priority="55">
      <formula>$O$10=$D$10</formula>
    </cfRule>
  </conditionalFormatting>
  <conditionalFormatting sqref="P10 P33">
    <cfRule type="expression" dxfId="8" priority="56">
      <formula>$P$10=$D$10</formula>
    </cfRule>
  </conditionalFormatting>
  <conditionalFormatting sqref="Q10 Q33">
    <cfRule type="expression" dxfId="7" priority="57">
      <formula>$Q$10=$D$10</formula>
    </cfRule>
  </conditionalFormatting>
  <conditionalFormatting sqref="R10 R33">
    <cfRule type="expression" dxfId="6" priority="58">
      <formula>$R$10=$D$10</formula>
    </cfRule>
  </conditionalFormatting>
  <conditionalFormatting sqref="S10 S33">
    <cfRule type="expression" dxfId="5" priority="59">
      <formula>$S$10=$D$10</formula>
    </cfRule>
  </conditionalFormatting>
  <conditionalFormatting sqref="T10 T33">
    <cfRule type="expression" dxfId="4" priority="60">
      <formula>$T$10=$D$10</formula>
    </cfRule>
  </conditionalFormatting>
  <conditionalFormatting sqref="U10 U33">
    <cfRule type="expression" dxfId="3" priority="61">
      <formula>$U$10=$D$10</formula>
    </cfRule>
  </conditionalFormatting>
  <conditionalFormatting sqref="V10 V33">
    <cfRule type="expression" dxfId="2" priority="62">
      <formula>$V$10=$D$10</formula>
    </cfRule>
  </conditionalFormatting>
  <conditionalFormatting sqref="W10 W33">
    <cfRule type="expression" dxfId="1" priority="63">
      <formula>$W$10=$D$10</formula>
    </cfRule>
  </conditionalFormatting>
  <conditionalFormatting sqref="X10:AG10 X33:AG33">
    <cfRule type="expression" dxfId="0" priority="64">
      <formula>$X$10=$D$10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98322F-0878-4665-AE70-EE3935159A4D}">
  <dimension ref="B3:AU56"/>
  <sheetViews>
    <sheetView topLeftCell="A89" zoomScale="55" zoomScaleNormal="55" workbookViewId="0">
      <selection activeCell="A107" sqref="A107"/>
    </sheetView>
  </sheetViews>
  <sheetFormatPr defaultRowHeight="18" x14ac:dyDescent="0.45"/>
  <sheetData>
    <row r="3" spans="2:47" x14ac:dyDescent="0.45">
      <c r="B3" t="s">
        <v>76</v>
      </c>
      <c r="E3" t="s">
        <v>77</v>
      </c>
      <c r="G3" t="s">
        <v>82</v>
      </c>
      <c r="M3" t="s">
        <v>78</v>
      </c>
      <c r="O3" t="s">
        <v>83</v>
      </c>
      <c r="X3" t="s">
        <v>79</v>
      </c>
      <c r="Y3" t="s">
        <v>84</v>
      </c>
      <c r="AI3" t="s">
        <v>80</v>
      </c>
      <c r="AJ3" t="s">
        <v>81</v>
      </c>
      <c r="AT3" t="s">
        <v>85</v>
      </c>
      <c r="AU3">
        <v>107.7</v>
      </c>
    </row>
    <row r="56" spans="2:38" x14ac:dyDescent="0.45">
      <c r="B56" t="s">
        <v>86</v>
      </c>
      <c r="D56" t="s">
        <v>87</v>
      </c>
      <c r="M56" t="s">
        <v>88</v>
      </c>
      <c r="O56" t="s">
        <v>89</v>
      </c>
      <c r="X56" t="s">
        <v>90</v>
      </c>
      <c r="Z56" t="s">
        <v>91</v>
      </c>
      <c r="AI56" t="s">
        <v>92</v>
      </c>
      <c r="AJ56" t="s">
        <v>86</v>
      </c>
      <c r="AL56" t="s">
        <v>87</v>
      </c>
    </row>
  </sheetData>
  <phoneticPr fontId="8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W32"/>
  <sheetViews>
    <sheetView workbookViewId="0">
      <selection activeCell="K31" sqref="K31"/>
    </sheetView>
  </sheetViews>
  <sheetFormatPr defaultColWidth="9.09765625" defaultRowHeight="13.8" x14ac:dyDescent="0.45"/>
  <cols>
    <col min="1" max="1" width="9.09765625" style="13"/>
    <col min="2" max="2" width="6" style="13" customWidth="1"/>
    <col min="3" max="4" width="9.09765625" style="39"/>
    <col min="5" max="5" width="15.3984375" style="39" bestFit="1" customWidth="1"/>
    <col min="6" max="6" width="9.09765625" style="39"/>
    <col min="7" max="20" width="9.09765625" style="13"/>
    <col min="21" max="21" width="10.3984375" style="13" customWidth="1"/>
    <col min="22" max="16384" width="9.09765625" style="13"/>
  </cols>
  <sheetData>
    <row r="1" spans="2:23" x14ac:dyDescent="0.45">
      <c r="B1" s="78" t="s">
        <v>58</v>
      </c>
      <c r="C1" s="78"/>
      <c r="D1" s="78"/>
      <c r="E1" s="14" t="s">
        <v>55</v>
      </c>
      <c r="F1" s="15">
        <v>1</v>
      </c>
      <c r="G1" s="15">
        <v>1.6</v>
      </c>
      <c r="H1" s="15">
        <v>1.7</v>
      </c>
    </row>
    <row r="2" spans="2:23" x14ac:dyDescent="0.45">
      <c r="B2" s="78" t="s">
        <v>59</v>
      </c>
      <c r="C2" s="78"/>
      <c r="D2" s="79"/>
      <c r="E2" s="16" t="s">
        <v>15</v>
      </c>
      <c r="F2" s="16"/>
      <c r="G2" s="17"/>
      <c r="H2" s="18">
        <v>5</v>
      </c>
      <c r="I2" s="18">
        <v>5</v>
      </c>
      <c r="J2" s="18">
        <v>5</v>
      </c>
      <c r="K2" s="18">
        <v>5</v>
      </c>
      <c r="L2" s="18">
        <v>5</v>
      </c>
      <c r="M2" s="18">
        <v>5</v>
      </c>
      <c r="N2" s="18">
        <v>5</v>
      </c>
      <c r="O2" s="18">
        <v>3</v>
      </c>
      <c r="P2" s="18">
        <v>3</v>
      </c>
      <c r="Q2" s="18">
        <v>1</v>
      </c>
      <c r="R2" s="18">
        <v>1</v>
      </c>
      <c r="S2" s="18">
        <v>1</v>
      </c>
      <c r="T2" s="18">
        <v>1</v>
      </c>
      <c r="U2" s="18">
        <v>1</v>
      </c>
    </row>
    <row r="3" spans="2:23" x14ac:dyDescent="0.45">
      <c r="B3" s="78"/>
      <c r="C3" s="78"/>
      <c r="D3" s="79"/>
      <c r="E3" s="19" t="s">
        <v>56</v>
      </c>
      <c r="F3" s="19"/>
      <c r="G3" s="20"/>
      <c r="H3" s="20">
        <f>H2</f>
        <v>5</v>
      </c>
      <c r="I3" s="20">
        <f>SUM($H$2:I2)</f>
        <v>10</v>
      </c>
      <c r="J3" s="20">
        <f>SUM($H$2:J2)</f>
        <v>15</v>
      </c>
      <c r="K3" s="20">
        <f>SUM($H$2:K2)</f>
        <v>20</v>
      </c>
      <c r="L3" s="20">
        <f>SUM($H$2:L2)</f>
        <v>25</v>
      </c>
      <c r="M3" s="20">
        <f>SUM($H$2:M2)</f>
        <v>30</v>
      </c>
      <c r="N3" s="20">
        <f>SUM($H$2:N2)</f>
        <v>35</v>
      </c>
      <c r="O3" s="20">
        <f>SUM($H$2:O2)</f>
        <v>38</v>
      </c>
      <c r="P3" s="20">
        <f>SUM($H$2:P2)</f>
        <v>41</v>
      </c>
      <c r="Q3" s="20">
        <f>SUM($H$2:Q2)</f>
        <v>42</v>
      </c>
      <c r="R3" s="20">
        <f>SUM($H$2:R2)</f>
        <v>43</v>
      </c>
      <c r="S3" s="20">
        <f>SUM($H$2:S2)</f>
        <v>44</v>
      </c>
      <c r="T3" s="20">
        <f>SUM($H$2:T2)</f>
        <v>45</v>
      </c>
      <c r="U3" s="20">
        <f>SUM($H$2:U2)</f>
        <v>46</v>
      </c>
    </row>
    <row r="4" spans="2:23" ht="14.4" thickBot="1" x14ac:dyDescent="0.5">
      <c r="B4" s="80" t="s">
        <v>60</v>
      </c>
      <c r="C4" s="80"/>
      <c r="D4" s="81"/>
      <c r="E4" s="21" t="s">
        <v>16</v>
      </c>
      <c r="F4" s="21"/>
      <c r="G4" s="22">
        <v>30</v>
      </c>
      <c r="H4" s="22">
        <v>30</v>
      </c>
      <c r="I4" s="22">
        <v>30</v>
      </c>
      <c r="J4" s="22">
        <v>30</v>
      </c>
      <c r="K4" s="22">
        <v>30</v>
      </c>
      <c r="L4" s="22">
        <v>30</v>
      </c>
      <c r="M4" s="22">
        <v>30</v>
      </c>
      <c r="N4" s="22">
        <v>30</v>
      </c>
      <c r="O4" s="22">
        <v>3</v>
      </c>
      <c r="P4" s="22">
        <v>3</v>
      </c>
      <c r="Q4" s="22">
        <v>1.5</v>
      </c>
      <c r="R4" s="22">
        <v>1.5</v>
      </c>
      <c r="S4" s="22">
        <v>1.5</v>
      </c>
      <c r="T4" s="22">
        <v>1.5</v>
      </c>
      <c r="U4" s="22">
        <v>1.5</v>
      </c>
    </row>
    <row r="5" spans="2:23" ht="15" thickBot="1" x14ac:dyDescent="0.5">
      <c r="B5" s="50" t="s">
        <v>57</v>
      </c>
      <c r="C5" s="23">
        <f>F1</f>
        <v>1</v>
      </c>
      <c r="D5" s="23">
        <f>G1</f>
        <v>1.6</v>
      </c>
      <c r="E5" s="23">
        <f>H1</f>
        <v>1.7</v>
      </c>
      <c r="F5" s="24" t="s">
        <v>18</v>
      </c>
      <c r="G5" s="25" t="s">
        <v>35</v>
      </c>
      <c r="H5" s="25" t="s">
        <v>36</v>
      </c>
      <c r="I5" s="25" t="s">
        <v>37</v>
      </c>
      <c r="J5" s="25" t="s">
        <v>38</v>
      </c>
      <c r="K5" s="25" t="s">
        <v>39</v>
      </c>
      <c r="L5" s="25" t="s">
        <v>40</v>
      </c>
      <c r="M5" s="25" t="s">
        <v>41</v>
      </c>
      <c r="N5" s="25" t="s">
        <v>42</v>
      </c>
      <c r="O5" s="25" t="s">
        <v>43</v>
      </c>
      <c r="P5" s="25" t="s">
        <v>44</v>
      </c>
      <c r="Q5" s="25" t="s">
        <v>45</v>
      </c>
      <c r="R5" s="25" t="s">
        <v>46</v>
      </c>
      <c r="S5" s="25" t="s">
        <v>47</v>
      </c>
      <c r="T5" s="25" t="s">
        <v>48</v>
      </c>
      <c r="U5" s="25" t="s">
        <v>49</v>
      </c>
    </row>
    <row r="6" spans="2:23" x14ac:dyDescent="0.45">
      <c r="B6" s="26" t="s">
        <v>35</v>
      </c>
      <c r="C6" s="27">
        <v>0.01</v>
      </c>
      <c r="D6" s="28">
        <f>C6</f>
        <v>0.01</v>
      </c>
      <c r="E6" s="28">
        <f>C6</f>
        <v>0.01</v>
      </c>
      <c r="F6" s="27">
        <v>0.01</v>
      </c>
      <c r="G6" s="29">
        <f>F6*G4*100</f>
        <v>30</v>
      </c>
      <c r="H6" s="30">
        <f>$F$6*(H4-H3)*100</f>
        <v>25</v>
      </c>
      <c r="I6" s="30">
        <f t="shared" ref="I6:U6" si="0">$F$6*(I4-I3)*100</f>
        <v>20</v>
      </c>
      <c r="J6" s="30">
        <f t="shared" si="0"/>
        <v>15</v>
      </c>
      <c r="K6" s="30">
        <f t="shared" si="0"/>
        <v>10</v>
      </c>
      <c r="L6" s="30">
        <f t="shared" si="0"/>
        <v>5</v>
      </c>
      <c r="M6" s="30">
        <f t="shared" si="0"/>
        <v>0</v>
      </c>
      <c r="N6" s="30">
        <f t="shared" si="0"/>
        <v>-5</v>
      </c>
      <c r="O6" s="30">
        <f t="shared" si="0"/>
        <v>-35</v>
      </c>
      <c r="P6" s="30">
        <f t="shared" si="0"/>
        <v>-38</v>
      </c>
      <c r="Q6" s="30">
        <f t="shared" si="0"/>
        <v>-40.5</v>
      </c>
      <c r="R6" s="30">
        <f t="shared" si="0"/>
        <v>-41.5</v>
      </c>
      <c r="S6" s="30">
        <f t="shared" si="0"/>
        <v>-42.5</v>
      </c>
      <c r="T6" s="30">
        <f t="shared" si="0"/>
        <v>-43.5</v>
      </c>
      <c r="U6" s="31">
        <f t="shared" si="0"/>
        <v>-44.5</v>
      </c>
      <c r="V6" s="32"/>
      <c r="W6" s="32"/>
    </row>
    <row r="7" spans="2:23" x14ac:dyDescent="0.45">
      <c r="B7" s="26" t="s">
        <v>36</v>
      </c>
      <c r="C7" s="28">
        <f>C6*$F$1</f>
        <v>0.01</v>
      </c>
      <c r="D7" s="28">
        <f t="shared" ref="D7:D20" si="1">D6*$G$1</f>
        <v>1.6E-2</v>
      </c>
      <c r="E7" s="28">
        <f t="shared" ref="E7:E20" si="2">E6*$H$1</f>
        <v>1.7000000000000001E-2</v>
      </c>
      <c r="F7" s="28">
        <f>F6*$F$1</f>
        <v>0.01</v>
      </c>
      <c r="G7" s="33"/>
      <c r="H7" s="34">
        <f>F7*H4*100</f>
        <v>30</v>
      </c>
      <c r="I7" s="34">
        <f>$F$7*(I4-(I3-H3))*100</f>
        <v>25</v>
      </c>
      <c r="J7" s="34">
        <f>$F$7*100*(J4-(J3-$H$3))</f>
        <v>20</v>
      </c>
      <c r="K7" s="34">
        <f t="shared" ref="K7:U7" si="3">$F$7*100*(K4-(K3-$H$3))</f>
        <v>15</v>
      </c>
      <c r="L7" s="34">
        <f t="shared" si="3"/>
        <v>10</v>
      </c>
      <c r="M7" s="34">
        <f t="shared" si="3"/>
        <v>5</v>
      </c>
      <c r="N7" s="34">
        <f t="shared" si="3"/>
        <v>0</v>
      </c>
      <c r="O7" s="34">
        <f t="shared" si="3"/>
        <v>-30</v>
      </c>
      <c r="P7" s="34">
        <f t="shared" si="3"/>
        <v>-33</v>
      </c>
      <c r="Q7" s="34">
        <f t="shared" si="3"/>
        <v>-35.5</v>
      </c>
      <c r="R7" s="34">
        <f t="shared" si="3"/>
        <v>-36.5</v>
      </c>
      <c r="S7" s="34">
        <f t="shared" si="3"/>
        <v>-37.5</v>
      </c>
      <c r="T7" s="34">
        <f t="shared" si="3"/>
        <v>-38.5</v>
      </c>
      <c r="U7" s="35">
        <f t="shared" si="3"/>
        <v>-39.5</v>
      </c>
      <c r="V7" s="32"/>
      <c r="W7" s="32"/>
    </row>
    <row r="8" spans="2:23" x14ac:dyDescent="0.45">
      <c r="B8" s="26" t="s">
        <v>37</v>
      </c>
      <c r="C8" s="28">
        <f>C7*$F$1</f>
        <v>0.01</v>
      </c>
      <c r="D8" s="28">
        <f t="shared" si="1"/>
        <v>2.5600000000000001E-2</v>
      </c>
      <c r="E8" s="28">
        <f t="shared" si="2"/>
        <v>2.8900000000000002E-2</v>
      </c>
      <c r="F8" s="28">
        <f>F7*$F$1</f>
        <v>0.01</v>
      </c>
      <c r="G8" s="33"/>
      <c r="H8" s="34"/>
      <c r="I8" s="34">
        <f>F8*I4*100</f>
        <v>30</v>
      </c>
      <c r="J8" s="34">
        <f>$F$8*100*(J4 -(J3-$I$3))</f>
        <v>25</v>
      </c>
      <c r="K8" s="34">
        <f t="shared" ref="K8:U8" si="4">$F$8*100*(K4 -(K3-$I$3))</f>
        <v>20</v>
      </c>
      <c r="L8" s="34">
        <f t="shared" si="4"/>
        <v>15</v>
      </c>
      <c r="M8" s="34">
        <f t="shared" si="4"/>
        <v>10</v>
      </c>
      <c r="N8" s="34">
        <f t="shared" si="4"/>
        <v>5</v>
      </c>
      <c r="O8" s="34">
        <f t="shared" si="4"/>
        <v>-25</v>
      </c>
      <c r="P8" s="34">
        <f t="shared" si="4"/>
        <v>-28</v>
      </c>
      <c r="Q8" s="34">
        <f t="shared" si="4"/>
        <v>-30.5</v>
      </c>
      <c r="R8" s="34">
        <f t="shared" si="4"/>
        <v>-31.5</v>
      </c>
      <c r="S8" s="34">
        <f t="shared" si="4"/>
        <v>-32.5</v>
      </c>
      <c r="T8" s="34">
        <f t="shared" si="4"/>
        <v>-33.5</v>
      </c>
      <c r="U8" s="35">
        <f t="shared" si="4"/>
        <v>-34.5</v>
      </c>
      <c r="V8" s="32"/>
      <c r="W8" s="32"/>
    </row>
    <row r="9" spans="2:23" x14ac:dyDescent="0.45">
      <c r="B9" s="26" t="s">
        <v>38</v>
      </c>
      <c r="C9" s="28">
        <f t="shared" ref="C9:C20" si="5">C8*$F$1</f>
        <v>0.01</v>
      </c>
      <c r="D9" s="28">
        <f t="shared" si="1"/>
        <v>4.0960000000000003E-2</v>
      </c>
      <c r="E9" s="28">
        <f t="shared" si="2"/>
        <v>4.913E-2</v>
      </c>
      <c r="F9" s="28">
        <f t="shared" ref="F9:F13" si="6">F8*$F$1</f>
        <v>0.01</v>
      </c>
      <c r="G9" s="33"/>
      <c r="H9" s="34"/>
      <c r="I9" s="34"/>
      <c r="J9" s="34">
        <f>F9*J4*100</f>
        <v>30</v>
      </c>
      <c r="K9" s="34">
        <f>$F$9*(K4-(K3-$J$3))*100</f>
        <v>25</v>
      </c>
      <c r="L9" s="34">
        <f t="shared" ref="L9:U9" si="7">$F$9*(L4-(L3-$J$3))*100</f>
        <v>20</v>
      </c>
      <c r="M9" s="34">
        <f t="shared" si="7"/>
        <v>15</v>
      </c>
      <c r="N9" s="34">
        <f t="shared" si="7"/>
        <v>10</v>
      </c>
      <c r="O9" s="34">
        <f t="shared" si="7"/>
        <v>-20</v>
      </c>
      <c r="P9" s="34">
        <f t="shared" si="7"/>
        <v>-23</v>
      </c>
      <c r="Q9" s="34">
        <f t="shared" si="7"/>
        <v>-25.5</v>
      </c>
      <c r="R9" s="34">
        <f t="shared" si="7"/>
        <v>-26.5</v>
      </c>
      <c r="S9" s="34">
        <f t="shared" si="7"/>
        <v>-27.500000000000004</v>
      </c>
      <c r="T9" s="34">
        <f t="shared" si="7"/>
        <v>-28.500000000000004</v>
      </c>
      <c r="U9" s="35">
        <f t="shared" si="7"/>
        <v>-29.5</v>
      </c>
      <c r="V9" s="32"/>
      <c r="W9" s="32"/>
    </row>
    <row r="10" spans="2:23" x14ac:dyDescent="0.45">
      <c r="B10" s="26" t="s">
        <v>39</v>
      </c>
      <c r="C10" s="28">
        <f t="shared" si="5"/>
        <v>0.01</v>
      </c>
      <c r="D10" s="28">
        <f t="shared" si="1"/>
        <v>6.5536000000000011E-2</v>
      </c>
      <c r="E10" s="28">
        <f t="shared" si="2"/>
        <v>8.3520999999999998E-2</v>
      </c>
      <c r="F10" s="28">
        <f t="shared" si="6"/>
        <v>0.01</v>
      </c>
      <c r="G10" s="33"/>
      <c r="H10" s="34"/>
      <c r="I10" s="34"/>
      <c r="J10" s="34"/>
      <c r="K10" s="34">
        <f>F10*K4*100</f>
        <v>30</v>
      </c>
      <c r="L10" s="34">
        <f>$F$10*(L4-(L3-$K$3))*100</f>
        <v>25</v>
      </c>
      <c r="M10" s="34">
        <f>$F$10*(M4-(M3-$K$3))*100</f>
        <v>20</v>
      </c>
      <c r="N10" s="34">
        <f t="shared" ref="N10:U10" si="8">$F$10*(N4-(N3-$K$3))*100</f>
        <v>15</v>
      </c>
      <c r="O10" s="34">
        <f t="shared" si="8"/>
        <v>-15</v>
      </c>
      <c r="P10" s="34">
        <f t="shared" si="8"/>
        <v>-18</v>
      </c>
      <c r="Q10" s="34">
        <f t="shared" si="8"/>
        <v>-20.5</v>
      </c>
      <c r="R10" s="34">
        <f t="shared" si="8"/>
        <v>-21.5</v>
      </c>
      <c r="S10" s="34">
        <f t="shared" si="8"/>
        <v>-22.5</v>
      </c>
      <c r="T10" s="34">
        <f t="shared" si="8"/>
        <v>-23.5</v>
      </c>
      <c r="U10" s="35">
        <f t="shared" si="8"/>
        <v>-24.5</v>
      </c>
      <c r="V10" s="32"/>
      <c r="W10" s="32"/>
    </row>
    <row r="11" spans="2:23" x14ac:dyDescent="0.45">
      <c r="B11" s="26" t="s">
        <v>40</v>
      </c>
      <c r="C11" s="28">
        <f t="shared" si="5"/>
        <v>0.01</v>
      </c>
      <c r="D11" s="28">
        <f t="shared" si="1"/>
        <v>0.10485760000000002</v>
      </c>
      <c r="E11" s="28">
        <f t="shared" si="2"/>
        <v>0.14198569999999999</v>
      </c>
      <c r="F11" s="28">
        <f t="shared" si="6"/>
        <v>0.01</v>
      </c>
      <c r="G11" s="33"/>
      <c r="H11" s="34"/>
      <c r="I11" s="34"/>
      <c r="J11" s="34"/>
      <c r="K11" s="34"/>
      <c r="L11" s="34">
        <f>F11*L4*100</f>
        <v>30</v>
      </c>
      <c r="M11" s="34">
        <f>$F$11*(M4-(M3-$L$3))*100</f>
        <v>25</v>
      </c>
      <c r="N11" s="34">
        <f>$F$11*(N4-(N3-$L$3))*100</f>
        <v>20</v>
      </c>
      <c r="O11" s="34">
        <f t="shared" ref="O11:U11" si="9">$F$11*(O4-(O3-$L$3))*100</f>
        <v>-10</v>
      </c>
      <c r="P11" s="34">
        <f t="shared" si="9"/>
        <v>-13</v>
      </c>
      <c r="Q11" s="34">
        <f t="shared" si="9"/>
        <v>-15.5</v>
      </c>
      <c r="R11" s="34">
        <f t="shared" si="9"/>
        <v>-16.5</v>
      </c>
      <c r="S11" s="34">
        <f t="shared" si="9"/>
        <v>-17.5</v>
      </c>
      <c r="T11" s="34">
        <f t="shared" si="9"/>
        <v>-18.5</v>
      </c>
      <c r="U11" s="35">
        <f t="shared" si="9"/>
        <v>-19.5</v>
      </c>
      <c r="V11" s="32"/>
      <c r="W11" s="32"/>
    </row>
    <row r="12" spans="2:23" x14ac:dyDescent="0.45">
      <c r="B12" s="26" t="s">
        <v>41</v>
      </c>
      <c r="C12" s="28">
        <f t="shared" si="5"/>
        <v>0.01</v>
      </c>
      <c r="D12" s="28">
        <f t="shared" si="1"/>
        <v>0.16777216000000006</v>
      </c>
      <c r="E12" s="28">
        <f t="shared" si="2"/>
        <v>0.24137568999999998</v>
      </c>
      <c r="F12" s="28">
        <v>0.01</v>
      </c>
      <c r="G12" s="33"/>
      <c r="H12" s="34"/>
      <c r="I12" s="34"/>
      <c r="J12" s="34"/>
      <c r="K12" s="34"/>
      <c r="L12" s="34"/>
      <c r="M12" s="34">
        <f>F12*M4*100</f>
        <v>30</v>
      </c>
      <c r="N12" s="34">
        <f>$F$12*(N4-(N3-$M$3))*100</f>
        <v>25</v>
      </c>
      <c r="O12" s="34">
        <f>$F$12*(O4-(O3-$M$3))*100</f>
        <v>-5</v>
      </c>
      <c r="P12" s="34">
        <f t="shared" ref="P12:U12" si="10">$F$12*(P4-(P3-$M$3))*100</f>
        <v>-8</v>
      </c>
      <c r="Q12" s="34">
        <f t="shared" si="10"/>
        <v>-10.5</v>
      </c>
      <c r="R12" s="34">
        <f t="shared" si="10"/>
        <v>-11.5</v>
      </c>
      <c r="S12" s="34">
        <f t="shared" si="10"/>
        <v>-12.5</v>
      </c>
      <c r="T12" s="34">
        <f t="shared" si="10"/>
        <v>-13.5</v>
      </c>
      <c r="U12" s="35">
        <f t="shared" si="10"/>
        <v>-14.499999999999998</v>
      </c>
      <c r="V12" s="32"/>
      <c r="W12" s="32"/>
    </row>
    <row r="13" spans="2:23" x14ac:dyDescent="0.45">
      <c r="B13" s="26" t="s">
        <v>42</v>
      </c>
      <c r="C13" s="28">
        <f t="shared" si="5"/>
        <v>0.01</v>
      </c>
      <c r="D13" s="28">
        <f t="shared" si="1"/>
        <v>0.26843545600000013</v>
      </c>
      <c r="E13" s="28">
        <f t="shared" si="2"/>
        <v>0.41033867299999993</v>
      </c>
      <c r="F13" s="28">
        <f t="shared" si="6"/>
        <v>0.01</v>
      </c>
      <c r="G13" s="33"/>
      <c r="H13" s="34"/>
      <c r="I13" s="34"/>
      <c r="J13" s="34"/>
      <c r="K13" s="34"/>
      <c r="L13" s="34"/>
      <c r="M13" s="34"/>
      <c r="N13" s="34">
        <f>F13*N4*100</f>
        <v>30</v>
      </c>
      <c r="O13" s="34">
        <f>$F$13*(O4-(O3-$N$3))*100</f>
        <v>0</v>
      </c>
      <c r="P13" s="34">
        <f>$F$13*(P4-(P3-$N$3))*100</f>
        <v>-3</v>
      </c>
      <c r="Q13" s="34">
        <f t="shared" ref="Q13:U13" si="11">$F$13*(Q4-(Q3-$N$3))*100</f>
        <v>-5.5</v>
      </c>
      <c r="R13" s="34">
        <f t="shared" si="11"/>
        <v>-6.5</v>
      </c>
      <c r="S13" s="34">
        <f t="shared" si="11"/>
        <v>-7.5</v>
      </c>
      <c r="T13" s="34">
        <f t="shared" si="11"/>
        <v>-8.5</v>
      </c>
      <c r="U13" s="35">
        <f t="shared" si="11"/>
        <v>-9.5</v>
      </c>
      <c r="V13" s="32"/>
      <c r="W13" s="32"/>
    </row>
    <row r="14" spans="2:23" x14ac:dyDescent="0.45">
      <c r="B14" s="26" t="s">
        <v>43</v>
      </c>
      <c r="C14" s="28">
        <f t="shared" si="5"/>
        <v>0.01</v>
      </c>
      <c r="D14" s="28">
        <f t="shared" si="1"/>
        <v>0.42949672960000024</v>
      </c>
      <c r="E14" s="28">
        <f t="shared" si="2"/>
        <v>0.69757574409999989</v>
      </c>
      <c r="F14" s="28">
        <v>0.43</v>
      </c>
      <c r="G14" s="33"/>
      <c r="H14" s="34"/>
      <c r="I14" s="34"/>
      <c r="J14" s="34"/>
      <c r="K14" s="34"/>
      <c r="L14" s="34"/>
      <c r="M14" s="34"/>
      <c r="N14" s="34"/>
      <c r="O14" s="34">
        <f>F14*O4*100</f>
        <v>129</v>
      </c>
      <c r="P14" s="34">
        <f>$F$14*(P4-(P3-$O$3))*100</f>
        <v>0</v>
      </c>
      <c r="Q14" s="34">
        <f>$F$14*(Q4-(Q3-$O$3))*100</f>
        <v>-107.5</v>
      </c>
      <c r="R14" s="34">
        <f t="shared" ref="R14:U14" si="12">$F$14*(R4-(R3-$O$3))*100</f>
        <v>-150.5</v>
      </c>
      <c r="S14" s="34">
        <f t="shared" si="12"/>
        <v>-193.5</v>
      </c>
      <c r="T14" s="34">
        <f t="shared" si="12"/>
        <v>-236.49999999999997</v>
      </c>
      <c r="U14" s="35">
        <f t="shared" si="12"/>
        <v>-279.5</v>
      </c>
      <c r="V14" s="32"/>
      <c r="W14" s="32"/>
    </row>
    <row r="15" spans="2:23" ht="14.1" customHeight="1" x14ac:dyDescent="0.45">
      <c r="B15" s="26" t="s">
        <v>44</v>
      </c>
      <c r="C15" s="28">
        <f t="shared" si="5"/>
        <v>0.01</v>
      </c>
      <c r="D15" s="28">
        <f t="shared" si="1"/>
        <v>0.6871947673600004</v>
      </c>
      <c r="E15" s="28">
        <f t="shared" si="2"/>
        <v>1.1858787649699998</v>
      </c>
      <c r="F15" s="28">
        <v>0.69</v>
      </c>
      <c r="G15" s="33"/>
      <c r="H15" s="34"/>
      <c r="I15" s="34"/>
      <c r="J15" s="34"/>
      <c r="K15" s="34"/>
      <c r="L15" s="34"/>
      <c r="M15" s="34"/>
      <c r="N15" s="34"/>
      <c r="O15" s="34"/>
      <c r="P15" s="34">
        <f>F15*P4*100</f>
        <v>206.99999999999997</v>
      </c>
      <c r="Q15" s="34">
        <f>$F$15*(Q4-(Q3-$P$3))*100</f>
        <v>34.5</v>
      </c>
      <c r="R15" s="34">
        <f>$F$15*(R4-(R3-$P$3))*100</f>
        <v>-34.5</v>
      </c>
      <c r="S15" s="34">
        <f t="shared" ref="S15:U15" si="13">$F$15*(S4-(S3-$P$3))*100</f>
        <v>-103.49999999999999</v>
      </c>
      <c r="T15" s="34">
        <f t="shared" si="13"/>
        <v>-172.5</v>
      </c>
      <c r="U15" s="35">
        <f t="shared" si="13"/>
        <v>-241.5</v>
      </c>
      <c r="V15" s="32"/>
      <c r="W15" s="32"/>
    </row>
    <row r="16" spans="2:23" x14ac:dyDescent="0.45">
      <c r="B16" s="26" t="s">
        <v>45</v>
      </c>
      <c r="C16" s="28">
        <f t="shared" si="5"/>
        <v>0.01</v>
      </c>
      <c r="D16" s="28">
        <f t="shared" si="1"/>
        <v>1.0995116277760006</v>
      </c>
      <c r="E16" s="28">
        <f t="shared" si="2"/>
        <v>2.0159939004489997</v>
      </c>
      <c r="F16" s="28">
        <v>1.1000000000000001</v>
      </c>
      <c r="G16" s="33"/>
      <c r="H16" s="34"/>
      <c r="I16" s="34"/>
      <c r="J16" s="34"/>
      <c r="K16" s="34"/>
      <c r="L16" s="34"/>
      <c r="M16" s="34"/>
      <c r="N16" s="34"/>
      <c r="O16" s="34"/>
      <c r="P16" s="34"/>
      <c r="Q16" s="34">
        <f>F16*Q4*100</f>
        <v>165</v>
      </c>
      <c r="R16" s="34">
        <f>$F$16*(R4-(R3-$Q$3))*100</f>
        <v>55.000000000000007</v>
      </c>
      <c r="S16" s="34">
        <f>$F$16*(S4-(S3-$Q$3))*100</f>
        <v>-55.000000000000007</v>
      </c>
      <c r="T16" s="34">
        <f t="shared" ref="T16:U16" si="14">$F$16*(T4-(T3-$Q$3))*100</f>
        <v>-165</v>
      </c>
      <c r="U16" s="35">
        <f t="shared" si="14"/>
        <v>-275</v>
      </c>
      <c r="V16" s="32"/>
      <c r="W16" s="32"/>
    </row>
    <row r="17" spans="2:23" x14ac:dyDescent="0.45">
      <c r="B17" s="26" t="s">
        <v>46</v>
      </c>
      <c r="C17" s="28">
        <f t="shared" si="5"/>
        <v>0.01</v>
      </c>
      <c r="D17" s="28">
        <f t="shared" si="1"/>
        <v>1.7592186044416012</v>
      </c>
      <c r="E17" s="28">
        <f t="shared" si="2"/>
        <v>3.4271896307632996</v>
      </c>
      <c r="F17" s="28">
        <v>1.76</v>
      </c>
      <c r="G17" s="33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>
        <f>F17*R4*100</f>
        <v>264</v>
      </c>
      <c r="S17" s="34">
        <f>$F$17*(S4-(S3-$R$3))*100</f>
        <v>88</v>
      </c>
      <c r="T17" s="34">
        <f>$F$17*(T4-(T3-$R$3))*100</f>
        <v>-88</v>
      </c>
      <c r="U17" s="35">
        <f t="shared" ref="U17" si="15">$F$17*(U4-(U3-$R$3))*100</f>
        <v>-264</v>
      </c>
      <c r="V17" s="32"/>
      <c r="W17" s="32"/>
    </row>
    <row r="18" spans="2:23" x14ac:dyDescent="0.45">
      <c r="B18" s="26" t="s">
        <v>47</v>
      </c>
      <c r="C18" s="28">
        <f t="shared" si="5"/>
        <v>0.01</v>
      </c>
      <c r="D18" s="28">
        <f t="shared" si="1"/>
        <v>2.8147497671065622</v>
      </c>
      <c r="E18" s="28">
        <f t="shared" si="2"/>
        <v>5.8262223722976092</v>
      </c>
      <c r="F18" s="28">
        <v>5.83</v>
      </c>
      <c r="G18" s="33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>
        <f>F18*S4*100</f>
        <v>874.50000000000011</v>
      </c>
      <c r="T18" s="34">
        <f>$F$18*(T4-(T3-$S$3))*100</f>
        <v>291.5</v>
      </c>
      <c r="U18" s="35">
        <f>$F$18*(U4-(U3-$S$3))*100</f>
        <v>-291.5</v>
      </c>
      <c r="V18" s="32"/>
      <c r="W18" s="32"/>
    </row>
    <row r="19" spans="2:23" x14ac:dyDescent="0.45">
      <c r="B19" s="26" t="s">
        <v>48</v>
      </c>
      <c r="C19" s="28">
        <f t="shared" si="5"/>
        <v>0.01</v>
      </c>
      <c r="D19" s="28">
        <f t="shared" si="1"/>
        <v>4.5035996273704999</v>
      </c>
      <c r="E19" s="28">
        <f t="shared" si="2"/>
        <v>9.9045780329059347</v>
      </c>
      <c r="F19" s="28">
        <v>9.9</v>
      </c>
      <c r="G19" s="33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>
        <f>F19*T4*100</f>
        <v>1485.0000000000002</v>
      </c>
      <c r="U19" s="35">
        <f>$F$19*(U4-(U3-$T$3))*100</f>
        <v>495</v>
      </c>
      <c r="V19" s="32"/>
      <c r="W19" s="32"/>
    </row>
    <row r="20" spans="2:23" ht="14.4" thickBot="1" x14ac:dyDescent="0.5">
      <c r="B20" s="26" t="s">
        <v>49</v>
      </c>
      <c r="C20" s="28">
        <f t="shared" si="5"/>
        <v>0.01</v>
      </c>
      <c r="D20" s="28">
        <f t="shared" si="1"/>
        <v>7.2057594037928006</v>
      </c>
      <c r="E20" s="28">
        <f t="shared" si="2"/>
        <v>16.837782655940089</v>
      </c>
      <c r="F20" s="28">
        <v>16.84</v>
      </c>
      <c r="G20" s="36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8">
        <f>F20*U4*100</f>
        <v>2526</v>
      </c>
      <c r="V20" s="32"/>
      <c r="W20" s="32"/>
    </row>
    <row r="21" spans="2:23" ht="14.4" thickBot="1" x14ac:dyDescent="0.5">
      <c r="B21" s="26" t="s">
        <v>50</v>
      </c>
      <c r="F21" s="40" t="s">
        <v>72</v>
      </c>
      <c r="G21" s="41">
        <f>SUM(G6:G20)</f>
        <v>30</v>
      </c>
      <c r="H21" s="41">
        <f t="shared" ref="H21:U21" si="16">SUM(H6:H20)</f>
        <v>55</v>
      </c>
      <c r="I21" s="41">
        <f t="shared" si="16"/>
        <v>75</v>
      </c>
      <c r="J21" s="41">
        <f t="shared" si="16"/>
        <v>90</v>
      </c>
      <c r="K21" s="41">
        <f t="shared" si="16"/>
        <v>100</v>
      </c>
      <c r="L21" s="41">
        <f t="shared" si="16"/>
        <v>105</v>
      </c>
      <c r="M21" s="41">
        <f t="shared" si="16"/>
        <v>105</v>
      </c>
      <c r="N21" s="41">
        <f t="shared" si="16"/>
        <v>100</v>
      </c>
      <c r="O21" s="41">
        <f t="shared" si="16"/>
        <v>-11</v>
      </c>
      <c r="P21" s="41">
        <f t="shared" si="16"/>
        <v>42.999999999999972</v>
      </c>
      <c r="Q21" s="41">
        <f t="shared" si="16"/>
        <v>-92</v>
      </c>
      <c r="R21" s="41">
        <f t="shared" si="16"/>
        <v>-58</v>
      </c>
      <c r="S21" s="41">
        <f t="shared" si="16"/>
        <v>410.50000000000011</v>
      </c>
      <c r="T21" s="41">
        <f t="shared" si="16"/>
        <v>906.50000000000023</v>
      </c>
      <c r="U21" s="42">
        <f t="shared" si="16"/>
        <v>1453.5</v>
      </c>
      <c r="V21" s="32"/>
      <c r="W21" s="32"/>
    </row>
    <row r="22" spans="2:23" ht="14.4" thickBot="1" x14ac:dyDescent="0.5">
      <c r="B22" s="26" t="s">
        <v>61</v>
      </c>
      <c r="F22" s="40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</row>
    <row r="23" spans="2:23" ht="14.4" thickBot="1" x14ac:dyDescent="0.5">
      <c r="B23" s="26" t="s">
        <v>62</v>
      </c>
      <c r="F23" s="40"/>
      <c r="G23" s="32"/>
    </row>
    <row r="24" spans="2:23" ht="14.4" thickBot="1" x14ac:dyDescent="0.5">
      <c r="B24" s="26" t="s">
        <v>63</v>
      </c>
      <c r="F24" s="40">
        <f>SUM(F6:F20)</f>
        <v>36.629999999999995</v>
      </c>
      <c r="G24" s="77"/>
      <c r="H24" s="77"/>
      <c r="I24" s="77"/>
      <c r="J24" s="77"/>
      <c r="K24" s="77"/>
      <c r="L24" s="77"/>
      <c r="M24" s="77"/>
      <c r="N24" s="77"/>
      <c r="O24" s="77"/>
      <c r="P24" s="77"/>
      <c r="Q24" s="77"/>
      <c r="R24" s="77"/>
      <c r="S24" s="77"/>
      <c r="T24" s="77"/>
      <c r="U24" s="77"/>
      <c r="V24" s="77"/>
    </row>
    <row r="25" spans="2:23" ht="14.4" thickBot="1" x14ac:dyDescent="0.5">
      <c r="B25" s="26" t="s">
        <v>64</v>
      </c>
      <c r="F25" s="40"/>
      <c r="G25" s="32"/>
    </row>
    <row r="26" spans="2:23" ht="14.4" thickBot="1" x14ac:dyDescent="0.5">
      <c r="B26" s="26" t="s">
        <v>65</v>
      </c>
      <c r="F26" s="40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</row>
    <row r="27" spans="2:23" ht="14.4" thickBot="1" x14ac:dyDescent="0.5">
      <c r="B27" s="26" t="s">
        <v>66</v>
      </c>
      <c r="F27" s="40"/>
    </row>
    <row r="28" spans="2:23" ht="14.4" thickBot="1" x14ac:dyDescent="0.5">
      <c r="B28" s="26" t="s">
        <v>67</v>
      </c>
      <c r="F28" s="40"/>
    </row>
    <row r="29" spans="2:23" ht="14.4" thickBot="1" x14ac:dyDescent="0.5">
      <c r="B29" s="26" t="s">
        <v>68</v>
      </c>
      <c r="F29" s="40"/>
    </row>
    <row r="30" spans="2:23" x14ac:dyDescent="0.45">
      <c r="B30" s="26" t="s">
        <v>69</v>
      </c>
    </row>
    <row r="31" spans="2:23" x14ac:dyDescent="0.45">
      <c r="B31" s="26" t="s">
        <v>70</v>
      </c>
    </row>
    <row r="32" spans="2:23" x14ac:dyDescent="0.45">
      <c r="B32" s="26" t="s">
        <v>71</v>
      </c>
    </row>
  </sheetData>
  <sheetProtection formatCells="0" formatColumns="0" formatRows="0" insertColumns="0" insertRows="0" insertHyperlinks="0" deleteColumns="0" deleteRows="0" sort="0" autoFilter="0" pivotTables="0"/>
  <mergeCells count="5">
    <mergeCell ref="G24:V24"/>
    <mergeCell ref="B1:D1"/>
    <mergeCell ref="B2:D2"/>
    <mergeCell ref="B3:D3"/>
    <mergeCell ref="B4:D4"/>
  </mergeCells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Bảng Input L30</vt:lpstr>
      <vt:lpstr>Sheet1</vt:lpstr>
      <vt:lpstr>Tính TP thay đổi hệ số, quãng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2023-10-25T17:11:07Z</dcterms:created>
  <dcterms:modified xsi:type="dcterms:W3CDTF">2024-03-29T11:02:45Z</dcterms:modified>
</cp:coreProperties>
</file>