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BiGek\bsc_scan_binance\src\main\resources\MQL5\"/>
    </mc:Choice>
  </mc:AlternateContent>
  <bookViews>
    <workbookView xWindow="6072" yWindow="0" windowWidth="32100" windowHeight="16680" activeTab="1"/>
  </bookViews>
  <sheets>
    <sheet name="Bảng Input L30" sheetId="2" r:id="rId1"/>
    <sheet name="Thay đổi hệ số quãng" sheetId="10" r:id="rId2"/>
    <sheet name="Sheet1" sheetId="8" r:id="rId3"/>
    <sheet name="Sheet1 (2)" sheetId="9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10" l="1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G21" i="10"/>
  <c r="U20" i="10"/>
  <c r="T19" i="10"/>
  <c r="S18" i="10"/>
  <c r="R17" i="10"/>
  <c r="Q16" i="10"/>
  <c r="P15" i="10"/>
  <c r="O14" i="10"/>
  <c r="F13" i="10"/>
  <c r="M12" i="10"/>
  <c r="F8" i="1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C20" i="10" s="1"/>
  <c r="M7" i="10"/>
  <c r="I7" i="10"/>
  <c r="F7" i="10"/>
  <c r="E7" i="10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D7" i="10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C7" i="10"/>
  <c r="G6" i="10"/>
  <c r="G22" i="10" s="1"/>
  <c r="E6" i="10"/>
  <c r="D6" i="10"/>
  <c r="E5" i="10"/>
  <c r="D5" i="10"/>
  <c r="C5" i="10"/>
  <c r="U3" i="10"/>
  <c r="T3" i="10"/>
  <c r="T15" i="10" s="1"/>
  <c r="S3" i="10"/>
  <c r="R3" i="10"/>
  <c r="R12" i="10" s="1"/>
  <c r="Q3" i="10"/>
  <c r="Q12" i="10" s="1"/>
  <c r="P3" i="10"/>
  <c r="P14" i="10" s="1"/>
  <c r="O3" i="10"/>
  <c r="N3" i="10"/>
  <c r="N12" i="10" s="1"/>
  <c r="M3" i="10"/>
  <c r="M6" i="10" s="1"/>
  <c r="L3" i="10"/>
  <c r="L6" i="10" s="1"/>
  <c r="K3" i="10"/>
  <c r="K6" i="10" s="1"/>
  <c r="J3" i="10"/>
  <c r="J6" i="10" s="1"/>
  <c r="I3" i="10"/>
  <c r="I6" i="10" s="1"/>
  <c r="H3" i="10"/>
  <c r="N7" i="10" s="1"/>
  <c r="T52" i="2"/>
  <c r="AB52" i="2"/>
  <c r="AA52" i="2"/>
  <c r="Z52" i="2"/>
  <c r="Y52" i="2"/>
  <c r="X52" i="2"/>
  <c r="W52" i="2"/>
  <c r="V52" i="2"/>
  <c r="U52" i="2"/>
  <c r="AB51" i="2"/>
  <c r="AA51" i="2"/>
  <c r="Z51" i="2"/>
  <c r="Y51" i="2"/>
  <c r="X51" i="2"/>
  <c r="W51" i="2"/>
  <c r="V51" i="2"/>
  <c r="U51" i="2"/>
  <c r="T51" i="2"/>
  <c r="S51" i="2"/>
  <c r="AB53" i="2"/>
  <c r="AA53" i="2"/>
  <c r="Z53" i="2"/>
  <c r="Y53" i="2"/>
  <c r="X53" i="2"/>
  <c r="W53" i="2"/>
  <c r="V53" i="2"/>
  <c r="U53" i="2"/>
  <c r="AB54" i="2"/>
  <c r="AA54" i="2"/>
  <c r="Z54" i="2"/>
  <c r="Y54" i="2"/>
  <c r="X54" i="2"/>
  <c r="W54" i="2"/>
  <c r="V54" i="2"/>
  <c r="AB55" i="2"/>
  <c r="AA55" i="2"/>
  <c r="Z55" i="2"/>
  <c r="Y55" i="2"/>
  <c r="X55" i="2"/>
  <c r="W55" i="2"/>
  <c r="AB56" i="2"/>
  <c r="AA56" i="2"/>
  <c r="Z56" i="2"/>
  <c r="Y56" i="2"/>
  <c r="X56" i="2"/>
  <c r="AB57" i="2"/>
  <c r="AA57" i="2"/>
  <c r="Z57" i="2"/>
  <c r="Y57" i="2"/>
  <c r="AB58" i="2"/>
  <c r="AA58" i="2"/>
  <c r="Z58" i="2"/>
  <c r="AB59" i="2"/>
  <c r="AB60" i="2"/>
  <c r="AA59" i="2"/>
  <c r="T7" i="10" l="1"/>
  <c r="S8" i="10"/>
  <c r="U19" i="10"/>
  <c r="U16" i="10"/>
  <c r="Q7" i="10"/>
  <c r="U14" i="10"/>
  <c r="S16" i="10"/>
  <c r="U7" i="10"/>
  <c r="R13" i="10"/>
  <c r="U17" i="10"/>
  <c r="T17" i="10"/>
  <c r="T16" i="10"/>
  <c r="L8" i="10"/>
  <c r="T8" i="10"/>
  <c r="S12" i="10"/>
  <c r="O13" i="10"/>
  <c r="H6" i="10"/>
  <c r="P6" i="10"/>
  <c r="T6" i="10"/>
  <c r="J7" i="10"/>
  <c r="R7" i="10"/>
  <c r="I8" i="10"/>
  <c r="I22" i="10" s="1"/>
  <c r="Q8" i="10"/>
  <c r="F9" i="10"/>
  <c r="P12" i="10"/>
  <c r="T13" i="10"/>
  <c r="R14" i="10"/>
  <c r="U15" i="10"/>
  <c r="Q6" i="10"/>
  <c r="U6" i="10"/>
  <c r="K7" i="10"/>
  <c r="O7" i="10"/>
  <c r="S7" i="10"/>
  <c r="J8" i="10"/>
  <c r="N8" i="10"/>
  <c r="R8" i="10"/>
  <c r="U12" i="10"/>
  <c r="Q13" i="10"/>
  <c r="U13" i="10"/>
  <c r="S14" i="10"/>
  <c r="R15" i="10"/>
  <c r="R16" i="10"/>
  <c r="S17" i="10"/>
  <c r="U18" i="10"/>
  <c r="O6" i="10"/>
  <c r="S6" i="10"/>
  <c r="P8" i="10"/>
  <c r="O12" i="10"/>
  <c r="S13" i="10"/>
  <c r="Q14" i="10"/>
  <c r="M8" i="10"/>
  <c r="U8" i="10"/>
  <c r="T12" i="10"/>
  <c r="P13" i="10"/>
  <c r="Q15" i="10"/>
  <c r="T18" i="10"/>
  <c r="N6" i="10"/>
  <c r="R6" i="10"/>
  <c r="H7" i="10"/>
  <c r="L7" i="10"/>
  <c r="P7" i="10"/>
  <c r="K8" i="10"/>
  <c r="O8" i="10"/>
  <c r="N13" i="10"/>
  <c r="T14" i="10"/>
  <c r="S15" i="10"/>
  <c r="AB50" i="2"/>
  <c r="AA50" i="2"/>
  <c r="Z50" i="2"/>
  <c r="Y50" i="2"/>
  <c r="X50" i="2"/>
  <c r="W50" i="2"/>
  <c r="V50" i="2"/>
  <c r="U50" i="2"/>
  <c r="T50" i="2"/>
  <c r="S50" i="2"/>
  <c r="R50" i="2"/>
  <c r="AB49" i="2"/>
  <c r="AA49" i="2"/>
  <c r="Z49" i="2"/>
  <c r="Y49" i="2"/>
  <c r="X49" i="2"/>
  <c r="W49" i="2"/>
  <c r="V49" i="2"/>
  <c r="U49" i="2"/>
  <c r="T49" i="2"/>
  <c r="S49" i="2"/>
  <c r="R49" i="2"/>
  <c r="Q49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J42" i="2"/>
  <c r="H22" i="10" l="1"/>
  <c r="S9" i="10"/>
  <c r="O9" i="10"/>
  <c r="K9" i="10"/>
  <c r="U9" i="10"/>
  <c r="M9" i="10"/>
  <c r="P9" i="10"/>
  <c r="R9" i="10"/>
  <c r="N9" i="10"/>
  <c r="J9" i="10"/>
  <c r="J22" i="10" s="1"/>
  <c r="F10" i="10"/>
  <c r="Q9" i="10"/>
  <c r="T9" i="10"/>
  <c r="L9" i="10"/>
  <c r="H63" i="2"/>
  <c r="J63" i="2"/>
  <c r="K63" i="2"/>
  <c r="L63" i="2"/>
  <c r="M63" i="2"/>
  <c r="N63" i="2"/>
  <c r="O63" i="2"/>
  <c r="P63" i="2"/>
  <c r="Q63" i="2"/>
  <c r="R63" i="2"/>
  <c r="S63" i="2"/>
  <c r="I63" i="2"/>
  <c r="J62" i="2"/>
  <c r="K62" i="2"/>
  <c r="L62" i="2"/>
  <c r="M62" i="2"/>
  <c r="N62" i="2"/>
  <c r="O62" i="2"/>
  <c r="P62" i="2"/>
  <c r="Q62" i="2"/>
  <c r="R62" i="2"/>
  <c r="S62" i="2"/>
  <c r="X62" i="2"/>
  <c r="I62" i="2"/>
  <c r="AB61" i="2"/>
  <c r="AA60" i="2"/>
  <c r="Z59" i="2"/>
  <c r="Y58" i="2"/>
  <c r="X57" i="2"/>
  <c r="W56" i="2"/>
  <c r="G58" i="2"/>
  <c r="G59" i="2" s="1"/>
  <c r="G60" i="2" s="1"/>
  <c r="G61" i="2" s="1"/>
  <c r="G57" i="2"/>
  <c r="F57" i="2"/>
  <c r="F58" i="2" s="1"/>
  <c r="F59" i="2" s="1"/>
  <c r="F60" i="2" s="1"/>
  <c r="F61" i="2" s="1"/>
  <c r="E57" i="2"/>
  <c r="E58" i="2" s="1"/>
  <c r="E59" i="2" s="1"/>
  <c r="E60" i="2" s="1"/>
  <c r="E61" i="2" s="1"/>
  <c r="X63" i="2"/>
  <c r="AB62" i="2"/>
  <c r="X39" i="2"/>
  <c r="Y39" i="2"/>
  <c r="Z39" i="2"/>
  <c r="AA39" i="2"/>
  <c r="AB39" i="2"/>
  <c r="D3" i="2"/>
  <c r="T10" i="10" l="1"/>
  <c r="P10" i="10"/>
  <c r="L10" i="10"/>
  <c r="N10" i="10"/>
  <c r="U10" i="10"/>
  <c r="Q10" i="10"/>
  <c r="S10" i="10"/>
  <c r="O10" i="10"/>
  <c r="K10" i="10"/>
  <c r="K22" i="10" s="1"/>
  <c r="R10" i="10"/>
  <c r="F11" i="10"/>
  <c r="M10" i="10"/>
  <c r="Y63" i="2"/>
  <c r="Z63" i="2"/>
  <c r="AA63" i="2"/>
  <c r="AB63" i="2"/>
  <c r="AA62" i="2"/>
  <c r="Z62" i="2"/>
  <c r="Y62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F42" i="2"/>
  <c r="G42" i="2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I42" i="2"/>
  <c r="E43" i="2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F43" i="2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J43" i="2"/>
  <c r="K44" i="2"/>
  <c r="L45" i="2"/>
  <c r="M46" i="2"/>
  <c r="N47" i="2"/>
  <c r="O48" i="2"/>
  <c r="P49" i="2"/>
  <c r="Q50" i="2"/>
  <c r="R51" i="2"/>
  <c r="S52" i="2"/>
  <c r="T53" i="2"/>
  <c r="U54" i="2"/>
  <c r="V55" i="2"/>
  <c r="R11" i="10" l="1"/>
  <c r="R22" i="10" s="1"/>
  <c r="N11" i="10"/>
  <c r="N22" i="10" s="1"/>
  <c r="P11" i="10"/>
  <c r="P22" i="10" s="1"/>
  <c r="O11" i="10"/>
  <c r="O22" i="10" s="1"/>
  <c r="U11" i="10"/>
  <c r="U22" i="10" s="1"/>
  <c r="Q11" i="10"/>
  <c r="Q22" i="10" s="1"/>
  <c r="M11" i="10"/>
  <c r="M22" i="10" s="1"/>
  <c r="T11" i="10"/>
  <c r="T22" i="10" s="1"/>
  <c r="L11" i="10"/>
  <c r="L22" i="10" s="1"/>
  <c r="S11" i="10"/>
  <c r="S22" i="10" s="1"/>
  <c r="F21" i="10"/>
  <c r="T63" i="2"/>
  <c r="V63" i="2"/>
  <c r="W62" i="2"/>
  <c r="V62" i="2"/>
  <c r="T62" i="2" l="1"/>
  <c r="U63" i="2"/>
  <c r="U62" i="2"/>
  <c r="W63" i="2"/>
  <c r="H4" i="2"/>
  <c r="J7" i="2" l="1"/>
  <c r="K7" i="2" s="1"/>
  <c r="J8" i="2" l="1"/>
  <c r="K8" i="2"/>
  <c r="L7" i="2"/>
  <c r="D4" i="2"/>
  <c r="D5" i="2" s="1"/>
  <c r="D6" i="2" s="1"/>
  <c r="D7" i="2" s="1"/>
  <c r="L8" i="2" l="1"/>
  <c r="M7" i="2"/>
  <c r="B13" i="2"/>
  <c r="H11" i="2" l="1"/>
  <c r="N7" i="2"/>
  <c r="M8" i="2"/>
  <c r="A13" i="2"/>
  <c r="A14" i="2" s="1"/>
  <c r="M11" i="2" l="1"/>
  <c r="AA11" i="2"/>
  <c r="Z11" i="2"/>
  <c r="AB11" i="2"/>
  <c r="Y11" i="2"/>
  <c r="N11" i="2"/>
  <c r="I33" i="2"/>
  <c r="R11" i="2"/>
  <c r="I11" i="2"/>
  <c r="U11" i="2"/>
  <c r="S11" i="2"/>
  <c r="O11" i="2"/>
  <c r="J11" i="2"/>
  <c r="T11" i="2"/>
  <c r="H12" i="2"/>
  <c r="P11" i="2"/>
  <c r="Q11" i="2"/>
  <c r="K11" i="2"/>
  <c r="L11" i="2"/>
  <c r="W11" i="2"/>
  <c r="X11" i="2"/>
  <c r="V11" i="2"/>
  <c r="O7" i="2"/>
  <c r="N8" i="2"/>
  <c r="A15" i="2"/>
  <c r="D14" i="2"/>
  <c r="B14" i="2"/>
  <c r="D13" i="2"/>
  <c r="C13" i="2" l="1"/>
  <c r="AA12" i="2"/>
  <c r="Z12" i="2"/>
  <c r="Y12" i="2"/>
  <c r="AB12" i="2"/>
  <c r="I31" i="2"/>
  <c r="I32" i="2"/>
  <c r="R12" i="2"/>
  <c r="X12" i="2"/>
  <c r="L12" i="2"/>
  <c r="M12" i="2"/>
  <c r="Q12" i="2"/>
  <c r="P12" i="2"/>
  <c r="W12" i="2"/>
  <c r="S12" i="2"/>
  <c r="O12" i="2"/>
  <c r="K12" i="2"/>
  <c r="T12" i="2"/>
  <c r="H13" i="2"/>
  <c r="V12" i="2"/>
  <c r="U12" i="2"/>
  <c r="N12" i="2"/>
  <c r="J33" i="2"/>
  <c r="J12" i="2"/>
  <c r="J31" i="2" s="1"/>
  <c r="O8" i="2"/>
  <c r="P7" i="2"/>
  <c r="A16" i="2"/>
  <c r="D15" i="2"/>
  <c r="B15" i="2"/>
  <c r="C14" i="2"/>
  <c r="Z13" i="2" l="1"/>
  <c r="Y13" i="2"/>
  <c r="AA13" i="2"/>
  <c r="AB13" i="2"/>
  <c r="X13" i="2"/>
  <c r="J32" i="2"/>
  <c r="K33" i="2"/>
  <c r="N13" i="2"/>
  <c r="V13" i="2"/>
  <c r="U13" i="2"/>
  <c r="M13" i="2"/>
  <c r="W13" i="2"/>
  <c r="R13" i="2"/>
  <c r="S13" i="2"/>
  <c r="O13" i="2"/>
  <c r="K13" i="2"/>
  <c r="K31" i="2" s="1"/>
  <c r="Q13" i="2"/>
  <c r="T13" i="2"/>
  <c r="P13" i="2"/>
  <c r="H14" i="2"/>
  <c r="L13" i="2"/>
  <c r="P8" i="2"/>
  <c r="Q7" i="2"/>
  <c r="C15" i="2"/>
  <c r="A17" i="2"/>
  <c r="D16" i="2"/>
  <c r="B16" i="2"/>
  <c r="K32" i="2" l="1"/>
  <c r="Z14" i="2"/>
  <c r="Y14" i="2"/>
  <c r="AB14" i="2"/>
  <c r="AA14" i="2"/>
  <c r="T14" i="2"/>
  <c r="S14" i="2"/>
  <c r="V14" i="2"/>
  <c r="O14" i="2"/>
  <c r="L33" i="2"/>
  <c r="H15" i="2"/>
  <c r="W14" i="2"/>
  <c r="U14" i="2"/>
  <c r="L14" i="2"/>
  <c r="X14" i="2"/>
  <c r="R14" i="2"/>
  <c r="N14" i="2"/>
  <c r="Q14" i="2"/>
  <c r="P14" i="2"/>
  <c r="M14" i="2"/>
  <c r="Q8" i="2"/>
  <c r="R7" i="2"/>
  <c r="A18" i="2"/>
  <c r="D17" i="2"/>
  <c r="B17" i="2"/>
  <c r="C16" i="2"/>
  <c r="N15" i="2" l="1"/>
  <c r="Z15" i="2"/>
  <c r="Y15" i="2"/>
  <c r="AA15" i="2"/>
  <c r="AB15" i="2"/>
  <c r="L32" i="2"/>
  <c r="L31" i="2"/>
  <c r="R15" i="2"/>
  <c r="H16" i="2"/>
  <c r="P16" i="2" s="1"/>
  <c r="Q15" i="2"/>
  <c r="V15" i="2"/>
  <c r="M33" i="2"/>
  <c r="U15" i="2"/>
  <c r="X15" i="2"/>
  <c r="M15" i="2"/>
  <c r="M31" i="2" s="1"/>
  <c r="T15" i="2"/>
  <c r="O15" i="2"/>
  <c r="P15" i="2"/>
  <c r="S15" i="2"/>
  <c r="W15" i="2"/>
  <c r="S7" i="2"/>
  <c r="R8" i="2"/>
  <c r="H17" i="2"/>
  <c r="N16" i="2"/>
  <c r="N32" i="2" s="1"/>
  <c r="C17" i="2"/>
  <c r="A19" i="2"/>
  <c r="D18" i="2"/>
  <c r="B18" i="2"/>
  <c r="M32" i="2" l="1"/>
  <c r="V16" i="2"/>
  <c r="Z16" i="2"/>
  <c r="Y16" i="2"/>
  <c r="AB16" i="2"/>
  <c r="AA16" i="2"/>
  <c r="Z17" i="2"/>
  <c r="Y17" i="2"/>
  <c r="AA17" i="2"/>
  <c r="AB17" i="2"/>
  <c r="N31" i="2"/>
  <c r="Q16" i="2"/>
  <c r="T16" i="2"/>
  <c r="U16" i="2"/>
  <c r="N33" i="2"/>
  <c r="S16" i="2"/>
  <c r="X16" i="2"/>
  <c r="R16" i="2"/>
  <c r="W16" i="2"/>
  <c r="O16" i="2"/>
  <c r="S8" i="2"/>
  <c r="T7" i="2"/>
  <c r="Q17" i="2"/>
  <c r="U17" i="2"/>
  <c r="H18" i="2"/>
  <c r="R17" i="2"/>
  <c r="V17" i="2"/>
  <c r="P17" i="2"/>
  <c r="X17" i="2"/>
  <c r="O17" i="2"/>
  <c r="S17" i="2"/>
  <c r="T17" i="2"/>
  <c r="W17" i="2"/>
  <c r="O33" i="2"/>
  <c r="A20" i="2"/>
  <c r="D19" i="2"/>
  <c r="B19" i="2"/>
  <c r="C18" i="2"/>
  <c r="O31" i="2" l="1"/>
  <c r="O32" i="2"/>
  <c r="Z18" i="2"/>
  <c r="Y18" i="2"/>
  <c r="AB18" i="2"/>
  <c r="AA18" i="2"/>
  <c r="T8" i="2"/>
  <c r="U7" i="2"/>
  <c r="S18" i="2"/>
  <c r="W18" i="2"/>
  <c r="P18" i="2"/>
  <c r="T18" i="2"/>
  <c r="X18" i="2"/>
  <c r="V18" i="2"/>
  <c r="R18" i="2"/>
  <c r="Q18" i="2"/>
  <c r="H19" i="2"/>
  <c r="U18" i="2"/>
  <c r="P33" i="2"/>
  <c r="C19" i="2"/>
  <c r="A21" i="2"/>
  <c r="D20" i="2"/>
  <c r="B20" i="2"/>
  <c r="Z19" i="2" l="1"/>
  <c r="Y19" i="2"/>
  <c r="AB19" i="2"/>
  <c r="AA19" i="2"/>
  <c r="P31" i="2"/>
  <c r="P32" i="2"/>
  <c r="V7" i="2"/>
  <c r="U8" i="2"/>
  <c r="R19" i="2"/>
  <c r="V19" i="2"/>
  <c r="S19" i="2"/>
  <c r="W19" i="2"/>
  <c r="U19" i="2"/>
  <c r="H20" i="2"/>
  <c r="X19" i="2"/>
  <c r="T19" i="2"/>
  <c r="Q19" i="2"/>
  <c r="Q33" i="2"/>
  <c r="C20" i="2"/>
  <c r="A22" i="2"/>
  <c r="D21" i="2"/>
  <c r="B21" i="2"/>
  <c r="AB20" i="2" l="1"/>
  <c r="Z20" i="2"/>
  <c r="Y20" i="2"/>
  <c r="AA20" i="2"/>
  <c r="Q31" i="2"/>
  <c r="Q32" i="2"/>
  <c r="W7" i="2"/>
  <c r="V8" i="2"/>
  <c r="R20" i="2"/>
  <c r="V20" i="2"/>
  <c r="S20" i="2"/>
  <c r="W20" i="2"/>
  <c r="U20" i="2"/>
  <c r="T20" i="2"/>
  <c r="X20" i="2"/>
  <c r="H21" i="2"/>
  <c r="R33" i="2"/>
  <c r="C21" i="2"/>
  <c r="A23" i="2"/>
  <c r="D22" i="2"/>
  <c r="B22" i="2"/>
  <c r="R31" i="2" l="1"/>
  <c r="R32" i="2"/>
  <c r="AA21" i="2"/>
  <c r="Z21" i="2"/>
  <c r="AB21" i="2"/>
  <c r="Y21" i="2"/>
  <c r="X7" i="2"/>
  <c r="Y7" i="2" s="1"/>
  <c r="W8" i="2"/>
  <c r="S21" i="2"/>
  <c r="W21" i="2"/>
  <c r="T21" i="2"/>
  <c r="X21" i="2"/>
  <c r="V21" i="2"/>
  <c r="H22" i="2"/>
  <c r="U21" i="2"/>
  <c r="S33" i="2"/>
  <c r="C22" i="2"/>
  <c r="A24" i="2"/>
  <c r="D24" i="2" s="1"/>
  <c r="D23" i="2"/>
  <c r="B23" i="2"/>
  <c r="Z7" i="2" l="1"/>
  <c r="Y8" i="2"/>
  <c r="AA22" i="2"/>
  <c r="Z22" i="2"/>
  <c r="AB22" i="2"/>
  <c r="Y22" i="2"/>
  <c r="S31" i="2"/>
  <c r="S32" i="2"/>
  <c r="X8" i="2"/>
  <c r="U22" i="2"/>
  <c r="H23" i="2"/>
  <c r="V22" i="2"/>
  <c r="X22" i="2"/>
  <c r="W22" i="2"/>
  <c r="T22" i="2"/>
  <c r="T33" i="2"/>
  <c r="C23" i="2"/>
  <c r="A25" i="2"/>
  <c r="D25" i="2" s="1"/>
  <c r="B24" i="2"/>
  <c r="T31" i="2" l="1"/>
  <c r="T32" i="2"/>
  <c r="AB23" i="2"/>
  <c r="AA23" i="2"/>
  <c r="Z23" i="2"/>
  <c r="Y23" i="2"/>
  <c r="Z8" i="2"/>
  <c r="AA7" i="2"/>
  <c r="X23" i="2"/>
  <c r="H24" i="2"/>
  <c r="U23" i="2"/>
  <c r="W23" i="2"/>
  <c r="V23" i="2"/>
  <c r="U33" i="2"/>
  <c r="C24" i="2"/>
  <c r="A26" i="2"/>
  <c r="D26" i="2" s="1"/>
  <c r="B25" i="2"/>
  <c r="AA8" i="2" l="1"/>
  <c r="AB7" i="2"/>
  <c r="AB8" i="2" s="1"/>
  <c r="U31" i="2"/>
  <c r="U32" i="2"/>
  <c r="AA24" i="2"/>
  <c r="Z24" i="2"/>
  <c r="AB24" i="2"/>
  <c r="Y24" i="2"/>
  <c r="X24" i="2"/>
  <c r="H25" i="2"/>
  <c r="W24" i="2"/>
  <c r="V24" i="2"/>
  <c r="V33" i="2"/>
  <c r="C25" i="2"/>
  <c r="A27" i="2"/>
  <c r="D27" i="2" s="1"/>
  <c r="B26" i="2"/>
  <c r="V32" i="2" l="1"/>
  <c r="V31" i="2"/>
  <c r="AB25" i="2"/>
  <c r="AA25" i="2"/>
  <c r="Z25" i="2"/>
  <c r="X25" i="2"/>
  <c r="Y25" i="2"/>
  <c r="H26" i="2"/>
  <c r="W25" i="2"/>
  <c r="W33" i="2"/>
  <c r="C26" i="2"/>
  <c r="A28" i="2"/>
  <c r="D28" i="2" s="1"/>
  <c r="B27" i="2"/>
  <c r="H31" i="2" l="1"/>
  <c r="AA26" i="2"/>
  <c r="Z26" i="2"/>
  <c r="Y26" i="2"/>
  <c r="AB26" i="2"/>
  <c r="H27" i="2"/>
  <c r="W31" i="2"/>
  <c r="W32" i="2"/>
  <c r="X26" i="2"/>
  <c r="X33" i="2"/>
  <c r="C27" i="2"/>
  <c r="A29" i="2"/>
  <c r="D29" i="2" s="1"/>
  <c r="B28" i="2"/>
  <c r="C28" i="2" s="1"/>
  <c r="H28" i="2" l="1"/>
  <c r="Z27" i="2"/>
  <c r="AA27" i="2"/>
  <c r="Y27" i="2"/>
  <c r="AB27" i="2"/>
  <c r="Y33" i="2"/>
  <c r="X32" i="2"/>
  <c r="X31" i="2"/>
  <c r="A30" i="2"/>
  <c r="D30" i="2" s="1"/>
  <c r="B29" i="2"/>
  <c r="Y32" i="2" l="1"/>
  <c r="Y31" i="2"/>
  <c r="H29" i="2"/>
  <c r="AB28" i="2"/>
  <c r="Z28" i="2"/>
  <c r="AA28" i="2"/>
  <c r="Z33" i="2"/>
  <c r="C29" i="2"/>
  <c r="A31" i="2"/>
  <c r="D31" i="2" s="1"/>
  <c r="B30" i="2"/>
  <c r="C30" i="2" s="1"/>
  <c r="H30" i="2" l="1"/>
  <c r="AB29" i="2"/>
  <c r="AA29" i="2"/>
  <c r="AA33" i="2"/>
  <c r="Z32" i="2"/>
  <c r="Z31" i="2"/>
  <c r="A32" i="2"/>
  <c r="D32" i="2" s="1"/>
  <c r="B31" i="2"/>
  <c r="AA31" i="2" l="1"/>
  <c r="AA32" i="2"/>
  <c r="AB30" i="2"/>
  <c r="AB33" i="2"/>
  <c r="C31" i="2"/>
  <c r="A33" i="2"/>
  <c r="D33" i="2" s="1"/>
  <c r="B32" i="2"/>
  <c r="AB32" i="2" l="1"/>
  <c r="AB31" i="2"/>
  <c r="C32" i="2"/>
  <c r="A34" i="2"/>
  <c r="D34" i="2" s="1"/>
  <c r="D35" i="2" s="1"/>
  <c r="B33" i="2"/>
  <c r="C33" i="2" l="1"/>
  <c r="B34" i="2"/>
  <c r="B35" i="2" s="1"/>
  <c r="C34" i="2" l="1"/>
  <c r="C35" i="2" s="1"/>
  <c r="J3" i="2" l="1"/>
  <c r="L3" i="2" s="1"/>
  <c r="N3" i="2" s="1"/>
</calcChain>
</file>

<file path=xl/sharedStrings.xml><?xml version="1.0" encoding="utf-8"?>
<sst xmlns="http://schemas.openxmlformats.org/spreadsheetml/2006/main" count="129" uniqueCount="94">
  <si>
    <t>THÔNG TIN ĐẦU VÀO</t>
  </si>
  <si>
    <t>Quãng giá L1-L2</t>
  </si>
  <si>
    <t>Quãng giá L2-L3</t>
  </si>
  <si>
    <t>Quãng giá L3-L4</t>
  </si>
  <si>
    <t>Quãng giá L4-L5</t>
  </si>
  <si>
    <t>Quãng giá L5-L6</t>
  </si>
  <si>
    <t>Quãng giá L6 trở đi</t>
  </si>
  <si>
    <t>Hệ số lot</t>
  </si>
  <si>
    <t>SỐ L</t>
  </si>
  <si>
    <t>K.LƯỢNG</t>
  </si>
  <si>
    <t>SỐ TIỀN $</t>
  </si>
  <si>
    <t>GIÁ ĐI</t>
  </si>
  <si>
    <t>TỔNG CỘNG:</t>
  </si>
  <si>
    <t>BẢNG TÍNH TP THEO QUÃNG VÀ HỆ SỐ</t>
  </si>
  <si>
    <t>Hệ số nhân</t>
  </si>
  <si>
    <t>Quãng giá</t>
  </si>
  <si>
    <t>TP</t>
  </si>
  <si>
    <t>DCA</t>
  </si>
  <si>
    <t>TP L1</t>
  </si>
  <si>
    <t>TP L2</t>
  </si>
  <si>
    <t>TP L3</t>
  </si>
  <si>
    <t>TP L4</t>
  </si>
  <si>
    <t>TP L5</t>
  </si>
  <si>
    <t>TP L6</t>
  </si>
  <si>
    <t>TP L7</t>
  </si>
  <si>
    <t>TP L8</t>
  </si>
  <si>
    <t>TP L9</t>
  </si>
  <si>
    <t>TP L10</t>
  </si>
  <si>
    <t>TP L11</t>
  </si>
  <si>
    <t>TP L12</t>
  </si>
  <si>
    <t>TP L13</t>
  </si>
  <si>
    <t>TP L14</t>
  </si>
  <si>
    <t>TP L15</t>
  </si>
  <si>
    <t>TP L16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</si>
  <si>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</si>
  <si>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</si>
  <si>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</si>
  <si>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</si>
  <si>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</si>
  <si>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</si>
  <si>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</si>
  <si>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</si>
  <si>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</si>
  <si>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</si>
  <si>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</si>
  <si>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</si>
  <si>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</si>
  <si>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</si>
  <si>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</si>
  <si>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Total</t>
  </si>
  <si>
    <t>Tổng lot</t>
  </si>
  <si>
    <t>Ký quỹ</t>
  </si>
  <si>
    <t>Tổng vốn cần có</t>
  </si>
  <si>
    <t xml:space="preserve">Hệ số </t>
  </si>
  <si>
    <t>L</t>
    <phoneticPr fontId="8"/>
  </si>
  <si>
    <t>Price</t>
    <phoneticPr fontId="8"/>
  </si>
  <si>
    <t>Quãng giá dca</t>
    <phoneticPr fontId="8"/>
  </si>
  <si>
    <t>is_allow_trend_shift</t>
    <phoneticPr fontId="8"/>
  </si>
  <si>
    <t>iStochastic</t>
    <phoneticPr fontId="8"/>
  </si>
  <si>
    <r>
      <t>Không ki</t>
    </r>
    <r>
      <rPr>
        <sz val="11"/>
        <color theme="1"/>
        <rFont val="Calibri"/>
        <family val="2"/>
        <charset val="163"/>
      </rPr>
      <t>ể</t>
    </r>
    <r>
      <rPr>
        <sz val="11"/>
        <color theme="1"/>
        <rFont val="Calibri"/>
        <family val="2"/>
        <scheme val="minor"/>
      </rPr>
      <t>m tra</t>
    </r>
    <phoneticPr fontId="8"/>
  </si>
  <si>
    <t>12h</t>
    <phoneticPr fontId="8"/>
  </si>
  <si>
    <t>1h</t>
    <phoneticPr fontId="8"/>
  </si>
  <si>
    <t>109k</t>
    <phoneticPr fontId="8"/>
  </si>
  <si>
    <t>115k</t>
    <phoneticPr fontId="8"/>
  </si>
  <si>
    <t>144k</t>
    <phoneticPr fontId="8"/>
  </si>
  <si>
    <t>110k</t>
    <phoneticPr fontId="8"/>
  </si>
  <si>
    <t>4h</t>
    <phoneticPr fontId="8"/>
  </si>
  <si>
    <t>iStochastic + 1h</t>
    <phoneticPr fontId="8"/>
  </si>
  <si>
    <t>103k</t>
    <phoneticPr fontId="8"/>
  </si>
  <si>
    <t>iStochastic + 4h</t>
    <phoneticPr fontId="8"/>
  </si>
  <si>
    <t>106k</t>
    <phoneticPr fontId="8"/>
  </si>
  <si>
    <t>iStochastic + 8h</t>
    <phoneticPr fontId="8"/>
  </si>
  <si>
    <t>101k</t>
    <phoneticPr fontId="8"/>
  </si>
  <si>
    <r>
      <t>Ch</t>
    </r>
    <r>
      <rPr>
        <sz val="11"/>
        <color theme="1"/>
        <rFont val="Calibri"/>
        <family val="2"/>
        <charset val="163"/>
      </rPr>
      <t>ố</t>
    </r>
    <r>
      <rPr>
        <sz val="11"/>
        <color theme="1"/>
        <rFont val="Calibri"/>
        <family val="2"/>
        <scheme val="minor"/>
      </rPr>
      <t>t:</t>
    </r>
    <phoneticPr fontId="8"/>
  </si>
  <si>
    <t>TP</t>
    <phoneticPr fontId="8"/>
  </si>
  <si>
    <t>Khối lượng ban đầu</t>
    <phoneticPr fontId="8"/>
  </si>
  <si>
    <t>Số Lệnh đánh</t>
    <phoneticPr fontId="8"/>
  </si>
  <si>
    <r>
      <t>G</t>
    </r>
    <r>
      <rPr>
        <sz val="11"/>
        <color theme="1"/>
        <rFont val="Arial"/>
        <family val="2"/>
        <charset val="163"/>
      </rPr>
      <t>ồ</t>
    </r>
    <r>
      <rPr>
        <sz val="11"/>
        <color theme="1"/>
        <rFont val="游ゴシック"/>
        <family val="2"/>
        <charset val="128"/>
      </rPr>
      <t>ng</t>
    </r>
    <phoneticPr fontId="7" type="noConversion"/>
  </si>
  <si>
    <t>TP L17</t>
  </si>
  <si>
    <t>TP L18</t>
  </si>
  <si>
    <t>TP L19</t>
  </si>
  <si>
    <t>TP L20</t>
  </si>
  <si>
    <t>L16</t>
  </si>
  <si>
    <t>L17</t>
  </si>
  <si>
    <t>L18</t>
  </si>
  <si>
    <t>L19</t>
  </si>
  <si>
    <t>L20</t>
  </si>
  <si>
    <t>L</t>
  </si>
  <si>
    <t>Điền hệ số nhân</t>
  </si>
  <si>
    <t>Điền quãng giá</t>
  </si>
  <si>
    <t>Giá</t>
  </si>
  <si>
    <t>Điền TP</t>
  </si>
  <si>
    <t>Hệ số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</si>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</sst>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;\-0;;\ @"/>
    <numFmt numFmtId="167" formatCode="0.00;\-0.00;;\ @"/>
    <numFmt numFmtId="168" formatCode="#,##0.000"/>
    <numFmt numFmtId="169" formatCode="#,##0.000_);\(#,##0.000\)"/>
    <numFmt numFmtId="170" formatCode="#,##0.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3"/>
      <charset val="128"/>
      <scheme val="minor"/>
    </font>
    <font>
      <sz val="10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rgb="FF000000"/>
      <name val="Arial"/>
      <family val="2"/>
    </font>
    <font>
      <sz val="13"/>
      <color theme="1"/>
      <name val="Arial"/>
      <family val="2"/>
    </font>
    <font>
      <sz val="11"/>
      <color theme="1"/>
      <name val="Arial"/>
      <family val="2"/>
    </font>
    <font>
      <sz val="11"/>
      <color rgb="FFFF0000"/>
      <name val="Arial"/>
      <family val="2"/>
    </font>
    <font>
      <sz val="13"/>
      <color rgb="FFFF0000"/>
      <name val="Arial"/>
      <family val="2"/>
    </font>
    <font>
      <sz val="13"/>
      <color rgb="FF002060"/>
      <name val="Arial"/>
      <family val="2"/>
    </font>
    <font>
      <sz val="13"/>
      <color rgb="FFC00000"/>
      <name val="Arial"/>
      <family val="2"/>
    </font>
    <font>
      <i/>
      <sz val="20"/>
      <color rgb="FFFF0000"/>
      <name val="Arial"/>
      <family val="2"/>
    </font>
    <font>
      <i/>
      <sz val="11"/>
      <color theme="1"/>
      <name val="Arial"/>
      <family val="2"/>
    </font>
    <font>
      <sz val="15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20"/>
      <color theme="1"/>
      <name val="Arial"/>
      <family val="2"/>
    </font>
    <font>
      <i/>
      <sz val="16"/>
      <color rgb="FFFF000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3F3F76"/>
      <name val="Arial"/>
      <family val="2"/>
    </font>
    <font>
      <sz val="11"/>
      <color theme="1"/>
      <name val="Calibri"/>
      <family val="2"/>
      <charset val="163"/>
    </font>
    <font>
      <sz val="11"/>
      <color theme="1"/>
      <name val="游ゴシック"/>
      <family val="2"/>
      <charset val="128"/>
    </font>
    <font>
      <sz val="11"/>
      <color theme="1"/>
      <name val="Arial"/>
      <family val="2"/>
      <charset val="163"/>
    </font>
    <font>
      <b/>
      <sz val="12"/>
      <color theme="4" tint="-0.499984740745262"/>
      <name val="Arial"/>
      <family val="2"/>
    </font>
    <font>
      <b/>
      <sz val="11"/>
      <color theme="1"/>
      <name val="Arial"/>
      <family val="2"/>
    </font>
    <font>
      <i/>
      <u/>
      <sz val="11"/>
      <color theme="1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F9EF"/>
        <bgColor rgb="FFE7F9EF"/>
      </patternFill>
    </fill>
    <fill>
      <patternFill patternType="solid">
        <fgColor rgb="FF00B050"/>
        <bgColor rgb="FFFFFF00"/>
      </patternFill>
    </fill>
    <fill>
      <patternFill patternType="solid">
        <fgColor rgb="FFE8E7FC"/>
        <bgColor rgb="FFE8E7F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rgb="FFE7F9E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double">
        <color auto="1"/>
      </right>
      <top/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7">
    <xf numFmtId="0" fontId="0" fillId="0" borderId="0"/>
    <xf numFmtId="0" fontId="1" fillId="0" borderId="0"/>
    <xf numFmtId="0" fontId="2" fillId="0" borderId="0"/>
    <xf numFmtId="43" fontId="1" fillId="0" borderId="0" applyFont="0" applyFill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6" fillId="9" borderId="12" applyNumberFormat="0" applyAlignment="0" applyProtection="0"/>
  </cellStyleXfs>
  <cellXfs count="152">
    <xf numFmtId="0" fontId="0" fillId="0" borderId="0" xfId="0"/>
    <xf numFmtId="0" fontId="3" fillId="0" borderId="0" xfId="2" applyFont="1"/>
    <xf numFmtId="0" fontId="3" fillId="0" borderId="0" xfId="2" applyFont="1" applyAlignment="1">
      <alignment horizontal="right"/>
    </xf>
    <xf numFmtId="3" fontId="3" fillId="0" borderId="11" xfId="2" applyNumberFormat="1" applyFont="1" applyBorder="1"/>
    <xf numFmtId="168" fontId="3" fillId="0" borderId="11" xfId="2" applyNumberFormat="1" applyFont="1" applyBorder="1"/>
    <xf numFmtId="0" fontId="9" fillId="0" borderId="0" xfId="2" applyFont="1"/>
    <xf numFmtId="166" fontId="10" fillId="3" borderId="0" xfId="1" applyNumberFormat="1" applyFont="1" applyFill="1"/>
    <xf numFmtId="167" fontId="10" fillId="3" borderId="0" xfId="1" applyNumberFormat="1" applyFont="1" applyFill="1"/>
    <xf numFmtId="167" fontId="10" fillId="0" borderId="7" xfId="1" applyNumberFormat="1" applyFont="1" applyBorder="1"/>
    <xf numFmtId="166" fontId="10" fillId="0" borderId="8" xfId="1" applyNumberFormat="1" applyFont="1" applyBorder="1"/>
    <xf numFmtId="167" fontId="10" fillId="0" borderId="2" xfId="1" applyNumberFormat="1" applyFont="1" applyBorder="1"/>
    <xf numFmtId="166" fontId="9" fillId="0" borderId="0" xfId="2" applyNumberFormat="1" applyFont="1"/>
    <xf numFmtId="167" fontId="9" fillId="0" borderId="0" xfId="2" applyNumberFormat="1" applyFont="1"/>
    <xf numFmtId="4" fontId="11" fillId="10" borderId="0" xfId="0" applyNumberFormat="1" applyFont="1" applyFill="1" applyAlignment="1">
      <alignment horizontal="center" vertical="center"/>
    </xf>
    <xf numFmtId="4" fontId="11" fillId="12" borderId="11" xfId="0" applyNumberFormat="1" applyFont="1" applyFill="1" applyBorder="1" applyAlignment="1">
      <alignment horizontal="center" vertical="center"/>
    </xf>
    <xf numFmtId="0" fontId="11" fillId="12" borderId="11" xfId="0" applyFont="1" applyFill="1" applyBorder="1" applyAlignment="1">
      <alignment horizontal="center" vertical="center"/>
    </xf>
    <xf numFmtId="0" fontId="12" fillId="12" borderId="11" xfId="0" applyFont="1" applyFill="1" applyBorder="1" applyAlignment="1">
      <alignment horizontal="center" vertical="center"/>
    </xf>
    <xf numFmtId="4" fontId="11" fillId="11" borderId="13" xfId="0" applyNumberFormat="1" applyFont="1" applyFill="1" applyBorder="1" applyAlignment="1">
      <alignment horizontal="center" vertical="center"/>
    </xf>
    <xf numFmtId="4" fontId="12" fillId="0" borderId="11" xfId="0" applyNumberFormat="1" applyFont="1" applyBorder="1" applyAlignment="1">
      <alignment horizontal="center" vertical="center"/>
    </xf>
    <xf numFmtId="4" fontId="11" fillId="0" borderId="11" xfId="0" applyNumberFormat="1" applyFont="1" applyBorder="1" applyAlignment="1">
      <alignment horizontal="center" vertical="center"/>
    </xf>
    <xf numFmtId="3" fontId="11" fillId="0" borderId="15" xfId="0" applyNumberFormat="1" applyFont="1" applyBorder="1" applyAlignment="1">
      <alignment horizontal="center" vertical="center"/>
    </xf>
    <xf numFmtId="4" fontId="11" fillId="0" borderId="0" xfId="0" applyNumberFormat="1" applyFont="1" applyAlignment="1">
      <alignment horizontal="center" vertical="center"/>
    </xf>
    <xf numFmtId="0" fontId="11" fillId="0" borderId="0" xfId="2" applyFont="1"/>
    <xf numFmtId="166" fontId="13" fillId="2" borderId="3" xfId="1" applyNumberFormat="1" applyFont="1" applyFill="1" applyBorder="1" applyAlignment="1">
      <alignment horizontal="center" vertical="center"/>
    </xf>
    <xf numFmtId="167" fontId="13" fillId="2" borderId="4" xfId="1" applyNumberFormat="1" applyFont="1" applyFill="1" applyBorder="1" applyAlignment="1">
      <alignment horizontal="center" vertical="center"/>
    </xf>
    <xf numFmtId="166" fontId="13" fillId="2" borderId="5" xfId="1" applyNumberFormat="1" applyFont="1" applyFill="1" applyBorder="1" applyAlignment="1">
      <alignment horizontal="center" vertical="center"/>
    </xf>
    <xf numFmtId="166" fontId="10" fillId="0" borderId="6" xfId="1" applyNumberFormat="1" applyFont="1" applyBorder="1" applyAlignment="1">
      <alignment horizontal="center" vertical="center"/>
    </xf>
    <xf numFmtId="3" fontId="13" fillId="2" borderId="5" xfId="1" applyNumberFormat="1" applyFont="1" applyFill="1" applyBorder="1" applyAlignment="1">
      <alignment vertical="center"/>
    </xf>
    <xf numFmtId="166" fontId="13" fillId="2" borderId="5" xfId="1" applyNumberFormat="1" applyFont="1" applyFill="1" applyBorder="1" applyAlignment="1">
      <alignment vertical="center"/>
    </xf>
    <xf numFmtId="0" fontId="17" fillId="0" borderId="0" xfId="2" applyFont="1"/>
    <xf numFmtId="0" fontId="11" fillId="4" borderId="9" xfId="2" applyFont="1" applyFill="1" applyBorder="1" applyAlignment="1">
      <alignment horizontal="center"/>
    </xf>
    <xf numFmtId="0" fontId="19" fillId="4" borderId="11" xfId="2" applyFont="1" applyFill="1" applyBorder="1" applyAlignment="1">
      <alignment horizontal="center" vertical="center"/>
    </xf>
    <xf numFmtId="4" fontId="19" fillId="0" borderId="11" xfId="2" applyNumberFormat="1" applyFont="1" applyBorder="1" applyAlignment="1">
      <alignment horizontal="center"/>
    </xf>
    <xf numFmtId="3" fontId="19" fillId="0" borderId="11" xfId="2" applyNumberFormat="1" applyFont="1" applyBorder="1" applyAlignment="1">
      <alignment horizontal="right"/>
    </xf>
    <xf numFmtId="3" fontId="19" fillId="0" borderId="11" xfId="2" applyNumberFormat="1" applyFont="1" applyBorder="1"/>
    <xf numFmtId="0" fontId="19" fillId="14" borderId="11" xfId="2" applyFont="1" applyFill="1" applyBorder="1" applyAlignment="1">
      <alignment horizontal="center" vertical="center"/>
    </xf>
    <xf numFmtId="0" fontId="19" fillId="6" borderId="11" xfId="2" applyFont="1" applyFill="1" applyBorder="1" applyAlignment="1">
      <alignment horizontal="center"/>
    </xf>
    <xf numFmtId="4" fontId="19" fillId="5" borderId="11" xfId="2" applyNumberFormat="1" applyFont="1" applyFill="1" applyBorder="1" applyAlignment="1">
      <alignment horizontal="center"/>
    </xf>
    <xf numFmtId="0" fontId="19" fillId="0" borderId="11" xfId="2" applyFont="1" applyBorder="1" applyAlignment="1">
      <alignment horizontal="center"/>
    </xf>
    <xf numFmtId="3" fontId="20" fillId="0" borderId="11" xfId="2" applyNumberFormat="1" applyFont="1" applyBorder="1" applyAlignment="1">
      <alignment horizontal="right"/>
    </xf>
    <xf numFmtId="0" fontId="3" fillId="0" borderId="0" xfId="2" applyFont="1" applyAlignment="1">
      <alignment horizontal="center" vertical="center"/>
    </xf>
    <xf numFmtId="4" fontId="3" fillId="0" borderId="0" xfId="2" applyNumberFormat="1" applyFont="1"/>
    <xf numFmtId="0" fontId="16" fillId="0" borderId="0" xfId="2" applyFont="1" applyAlignment="1">
      <alignment vertical="center"/>
    </xf>
    <xf numFmtId="0" fontId="22" fillId="0" borderId="0" xfId="2" applyFont="1" applyAlignment="1">
      <alignment vertical="center"/>
    </xf>
    <xf numFmtId="4" fontId="19" fillId="16" borderId="11" xfId="2" applyNumberFormat="1" applyFont="1" applyFill="1" applyBorder="1" applyAlignment="1">
      <alignment horizontal="center" vertical="center"/>
    </xf>
    <xf numFmtId="164" fontId="15" fillId="0" borderId="11" xfId="3" applyNumberFormat="1" applyFont="1" applyBorder="1" applyAlignment="1">
      <alignment vertical="center"/>
    </xf>
    <xf numFmtId="43" fontId="15" fillId="0" borderId="11" xfId="3" applyFont="1" applyBorder="1" applyAlignment="1">
      <alignment vertical="center"/>
    </xf>
    <xf numFmtId="169" fontId="15" fillId="2" borderId="11" xfId="3" applyNumberFormat="1" applyFont="1" applyFill="1" applyBorder="1" applyAlignment="1">
      <alignment vertical="center"/>
    </xf>
    <xf numFmtId="0" fontId="14" fillId="0" borderId="20" xfId="1" applyFont="1" applyBorder="1"/>
    <xf numFmtId="0" fontId="14" fillId="0" borderId="21" xfId="1" applyFont="1" applyBorder="1"/>
    <xf numFmtId="166" fontId="9" fillId="0" borderId="19" xfId="2" applyNumberFormat="1" applyFont="1" applyBorder="1"/>
    <xf numFmtId="168" fontId="11" fillId="17" borderId="11" xfId="0" applyNumberFormat="1" applyFont="1" applyFill="1" applyBorder="1" applyAlignment="1">
      <alignment horizontal="center" vertical="center"/>
    </xf>
    <xf numFmtId="3" fontId="11" fillId="0" borderId="23" xfId="0" applyNumberFormat="1" applyFont="1" applyBorder="1" applyAlignment="1">
      <alignment horizontal="center" vertical="center"/>
    </xf>
    <xf numFmtId="3" fontId="11" fillId="0" borderId="27" xfId="0" applyNumberFormat="1" applyFont="1" applyBorder="1" applyAlignment="1">
      <alignment horizontal="center" vertical="center"/>
    </xf>
    <xf numFmtId="3" fontId="11" fillId="0" borderId="28" xfId="0" applyNumberFormat="1" applyFont="1" applyBorder="1" applyAlignment="1">
      <alignment horizontal="center" vertical="center"/>
    </xf>
    <xf numFmtId="3" fontId="11" fillId="0" borderId="29" xfId="0" applyNumberFormat="1" applyFont="1" applyBorder="1" applyAlignment="1">
      <alignment horizontal="center" vertical="center"/>
    </xf>
    <xf numFmtId="3" fontId="11" fillId="0" borderId="31" xfId="0" applyNumberFormat="1" applyFont="1" applyBorder="1" applyAlignment="1">
      <alignment horizontal="center" vertical="center"/>
    </xf>
    <xf numFmtId="4" fontId="12" fillId="13" borderId="11" xfId="0" applyNumberFormat="1" applyFont="1" applyFill="1" applyBorder="1" applyAlignment="1">
      <alignment horizontal="center" vertical="center"/>
    </xf>
    <xf numFmtId="3" fontId="11" fillId="0" borderId="33" xfId="0" applyNumberFormat="1" applyFont="1" applyBorder="1" applyAlignment="1">
      <alignment horizontal="center" vertical="center"/>
    </xf>
    <xf numFmtId="0" fontId="11" fillId="17" borderId="11" xfId="0" applyFont="1" applyFill="1" applyBorder="1" applyAlignment="1">
      <alignment horizontal="center" vertical="center"/>
    </xf>
    <xf numFmtId="4" fontId="12" fillId="17" borderId="20" xfId="0" applyNumberFormat="1" applyFont="1" applyFill="1" applyBorder="1" applyAlignment="1">
      <alignment horizontal="center" vertical="center"/>
    </xf>
    <xf numFmtId="4" fontId="11" fillId="17" borderId="20" xfId="0" applyNumberFormat="1" applyFont="1" applyFill="1" applyBorder="1" applyAlignment="1">
      <alignment horizontal="center" vertical="center"/>
    </xf>
    <xf numFmtId="0" fontId="11" fillId="15" borderId="22" xfId="0" applyFont="1" applyFill="1" applyBorder="1" applyAlignment="1">
      <alignment horizontal="center" vertical="center"/>
    </xf>
    <xf numFmtId="0" fontId="11" fillId="15" borderId="11" xfId="0" applyFont="1" applyFill="1" applyBorder="1" applyAlignment="1">
      <alignment horizontal="center" vertical="center"/>
    </xf>
    <xf numFmtId="4" fontId="11" fillId="15" borderId="24" xfId="0" applyNumberFormat="1" applyFont="1" applyFill="1" applyBorder="1" applyAlignment="1">
      <alignment horizontal="center" vertical="center"/>
    </xf>
    <xf numFmtId="4" fontId="11" fillId="15" borderId="20" xfId="0" applyNumberFormat="1" applyFont="1" applyFill="1" applyBorder="1" applyAlignment="1">
      <alignment horizontal="center" vertical="center"/>
    </xf>
    <xf numFmtId="4" fontId="11" fillId="18" borderId="11" xfId="0" applyNumberFormat="1" applyFont="1" applyFill="1" applyBorder="1" applyAlignment="1">
      <alignment horizontal="center" vertical="center"/>
    </xf>
    <xf numFmtId="0" fontId="11" fillId="18" borderId="11" xfId="0" applyFont="1" applyFill="1" applyBorder="1" applyAlignment="1">
      <alignment horizontal="center" vertical="center"/>
    </xf>
    <xf numFmtId="0" fontId="11" fillId="0" borderId="14" xfId="0" applyFont="1" applyBorder="1" applyAlignment="1">
      <alignment vertical="center"/>
    </xf>
    <xf numFmtId="0" fontId="11" fillId="0" borderId="17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11" fillId="15" borderId="19" xfId="0" applyFont="1" applyFill="1" applyBorder="1" applyAlignment="1">
      <alignment horizontal="center" vertical="center"/>
    </xf>
    <xf numFmtId="3" fontId="11" fillId="0" borderId="35" xfId="0" applyNumberFormat="1" applyFont="1" applyBorder="1" applyAlignment="1">
      <alignment horizontal="center" vertical="center"/>
    </xf>
    <xf numFmtId="3" fontId="11" fillId="18" borderId="25" xfId="0" applyNumberFormat="1" applyFont="1" applyFill="1" applyBorder="1" applyAlignment="1">
      <alignment horizontal="center" vertical="center"/>
    </xf>
    <xf numFmtId="3" fontId="11" fillId="18" borderId="26" xfId="0" applyNumberFormat="1" applyFont="1" applyFill="1" applyBorder="1" applyAlignment="1">
      <alignment horizontal="center" vertical="center"/>
    </xf>
    <xf numFmtId="3" fontId="11" fillId="18" borderId="28" xfId="0" applyNumberFormat="1" applyFont="1" applyFill="1" applyBorder="1" applyAlignment="1">
      <alignment horizontal="center" vertical="center"/>
    </xf>
    <xf numFmtId="3" fontId="11" fillId="18" borderId="15" xfId="0" applyNumberFormat="1" applyFont="1" applyFill="1" applyBorder="1" applyAlignment="1">
      <alignment horizontal="center" vertical="center"/>
    </xf>
    <xf numFmtId="3" fontId="11" fillId="18" borderId="30" xfId="0" applyNumberFormat="1" applyFont="1" applyFill="1" applyBorder="1" applyAlignment="1">
      <alignment horizontal="center" vertical="center"/>
    </xf>
    <xf numFmtId="3" fontId="11" fillId="18" borderId="16" xfId="0" applyNumberFormat="1" applyFont="1" applyFill="1" applyBorder="1" applyAlignment="1">
      <alignment horizontal="center" vertical="center"/>
    </xf>
    <xf numFmtId="3" fontId="11" fillId="18" borderId="31" xfId="0" applyNumberFormat="1" applyFont="1" applyFill="1" applyBorder="1" applyAlignment="1">
      <alignment horizontal="center" vertical="center"/>
    </xf>
    <xf numFmtId="3" fontId="11" fillId="15" borderId="15" xfId="0" applyNumberFormat="1" applyFont="1" applyFill="1" applyBorder="1" applyAlignment="1">
      <alignment horizontal="center" vertical="center"/>
    </xf>
    <xf numFmtId="3" fontId="11" fillId="15" borderId="32" xfId="0" applyNumberFormat="1" applyFont="1" applyFill="1" applyBorder="1" applyAlignment="1">
      <alignment horizontal="center" vertical="center"/>
    </xf>
    <xf numFmtId="169" fontId="18" fillId="19" borderId="10" xfId="2" applyNumberFormat="1" applyFont="1" applyFill="1" applyBorder="1" applyAlignment="1">
      <alignment horizontal="center" vertical="center"/>
    </xf>
    <xf numFmtId="37" fontId="18" fillId="19" borderId="9" xfId="2" applyNumberFormat="1" applyFont="1" applyFill="1" applyBorder="1" applyAlignment="1">
      <alignment horizontal="center" vertical="center"/>
    </xf>
    <xf numFmtId="164" fontId="15" fillId="2" borderId="11" xfId="3" applyNumberFormat="1" applyFont="1" applyFill="1" applyBorder="1" applyAlignment="1">
      <alignment vertical="center"/>
    </xf>
    <xf numFmtId="165" fontId="15" fillId="2" borderId="11" xfId="3" applyNumberFormat="1" applyFont="1" applyFill="1" applyBorder="1" applyAlignment="1">
      <alignment vertical="center"/>
    </xf>
    <xf numFmtId="4" fontId="13" fillId="2" borderId="3" xfId="1" applyNumberFormat="1" applyFont="1" applyFill="1" applyBorder="1" applyAlignment="1">
      <alignment vertical="center"/>
    </xf>
    <xf numFmtId="3" fontId="29" fillId="0" borderId="11" xfId="2" applyNumberFormat="1" applyFont="1" applyBorder="1" applyAlignment="1">
      <alignment horizontal="right"/>
    </xf>
    <xf numFmtId="3" fontId="30" fillId="17" borderId="19" xfId="0" applyNumberFormat="1" applyFont="1" applyFill="1" applyBorder="1" applyAlignment="1">
      <alignment horizontal="center" vertical="center"/>
    </xf>
    <xf numFmtId="3" fontId="12" fillId="0" borderId="11" xfId="0" applyNumberFormat="1" applyFont="1" applyBorder="1" applyAlignment="1">
      <alignment horizontal="center" vertical="center"/>
    </xf>
    <xf numFmtId="3" fontId="11" fillId="15" borderId="34" xfId="0" applyNumberFormat="1" applyFont="1" applyFill="1" applyBorder="1" applyAlignment="1">
      <alignment horizontal="center" vertical="center"/>
    </xf>
    <xf numFmtId="3" fontId="11" fillId="0" borderId="26" xfId="0" applyNumberFormat="1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3" fillId="2" borderId="0" xfId="1" applyFont="1" applyFill="1" applyAlignment="1">
      <alignment horizontal="center" vertical="center"/>
    </xf>
    <xf numFmtId="4" fontId="23" fillId="7" borderId="11" xfId="4" applyNumberFormat="1" applyFont="1" applyBorder="1" applyAlignment="1">
      <alignment horizontal="center"/>
    </xf>
    <xf numFmtId="0" fontId="24" fillId="8" borderId="11" xfId="5" applyFont="1" applyBorder="1" applyAlignment="1">
      <alignment horizontal="center"/>
    </xf>
    <xf numFmtId="4" fontId="25" fillId="9" borderId="11" xfId="6" applyNumberFormat="1" applyFont="1" applyBorder="1" applyAlignment="1">
      <alignment horizontal="center"/>
    </xf>
    <xf numFmtId="0" fontId="21" fillId="0" borderId="11" xfId="1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14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/>
    </xf>
    <xf numFmtId="170" fontId="11" fillId="0" borderId="11" xfId="0" applyNumberFormat="1" applyFont="1" applyBorder="1" applyAlignment="1">
      <alignment horizontal="center" vertical="center"/>
    </xf>
    <xf numFmtId="0" fontId="11" fillId="20" borderId="11" xfId="0" applyFont="1" applyFill="1" applyBorder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4" fontId="11" fillId="2" borderId="11" xfId="0" applyNumberFormat="1" applyFont="1" applyFill="1" applyBorder="1" applyAlignment="1">
      <alignment horizontal="center" vertical="center"/>
    </xf>
    <xf numFmtId="4" fontId="12" fillId="0" borderId="22" xfId="0" applyNumberFormat="1" applyFont="1" applyBorder="1" applyAlignment="1">
      <alignment horizontal="center" vertical="center"/>
    </xf>
    <xf numFmtId="4" fontId="11" fillId="3" borderId="11" xfId="0" applyNumberFormat="1" applyFont="1" applyFill="1" applyBorder="1" applyAlignment="1">
      <alignment horizontal="center" vertical="center"/>
    </xf>
    <xf numFmtId="4" fontId="11" fillId="16" borderId="11" xfId="0" applyNumberFormat="1" applyFont="1" applyFill="1" applyBorder="1" applyAlignment="1">
      <alignment horizontal="center" vertical="center"/>
    </xf>
    <xf numFmtId="3" fontId="11" fillId="0" borderId="20" xfId="0" applyNumberFormat="1" applyFont="1" applyBorder="1" applyAlignment="1">
      <alignment horizontal="center" vertical="center"/>
    </xf>
    <xf numFmtId="0" fontId="12" fillId="23" borderId="36" xfId="0" applyFont="1" applyFill="1" applyBorder="1" applyAlignment="1">
      <alignment horizontal="center" vertical="center"/>
    </xf>
    <xf numFmtId="0" fontId="12" fillId="23" borderId="37" xfId="0" applyFont="1" applyFill="1" applyBorder="1" applyAlignment="1">
      <alignment horizontal="center" vertical="center"/>
    </xf>
    <xf numFmtId="0" fontId="12" fillId="23" borderId="38" xfId="0" applyFont="1" applyFill="1" applyBorder="1" applyAlignment="1">
      <alignment horizontal="center" vertical="center"/>
    </xf>
    <xf numFmtId="0" fontId="12" fillId="23" borderId="39" xfId="0" applyFont="1" applyFill="1" applyBorder="1" applyAlignment="1">
      <alignment horizontal="center" vertical="center"/>
    </xf>
    <xf numFmtId="0" fontId="12" fillId="23" borderId="40" xfId="0" applyFont="1" applyFill="1" applyBorder="1" applyAlignment="1">
      <alignment horizontal="center" vertical="center"/>
    </xf>
    <xf numFmtId="0" fontId="12" fillId="23" borderId="41" xfId="0" applyFont="1" applyFill="1" applyBorder="1" applyAlignment="1">
      <alignment horizontal="center" vertical="center"/>
    </xf>
    <xf numFmtId="0" fontId="32" fillId="16" borderId="39" xfId="0" applyFont="1" applyFill="1" applyBorder="1" applyAlignment="1">
      <alignment horizontal="center" vertical="center"/>
    </xf>
    <xf numFmtId="0" fontId="32" fillId="16" borderId="40" xfId="0" applyFont="1" applyFill="1" applyBorder="1" applyAlignment="1">
      <alignment horizontal="center" vertical="center"/>
    </xf>
    <xf numFmtId="0" fontId="32" fillId="16" borderId="41" xfId="0" applyFont="1" applyFill="1" applyBorder="1" applyAlignment="1">
      <alignment horizontal="center" vertical="center"/>
    </xf>
    <xf numFmtId="3" fontId="11" fillId="0" borderId="39" xfId="0" applyNumberFormat="1" applyFont="1" applyBorder="1" applyAlignment="1">
      <alignment horizontal="center" vertical="center"/>
    </xf>
    <xf numFmtId="3" fontId="11" fillId="0" borderId="40" xfId="0" applyNumberFormat="1" applyFont="1" applyBorder="1" applyAlignment="1">
      <alignment horizontal="center" vertical="center"/>
    </xf>
    <xf numFmtId="3" fontId="11" fillId="0" borderId="41" xfId="0" applyNumberFormat="1" applyFont="1" applyBorder="1" applyAlignment="1">
      <alignment horizontal="center" vertical="center"/>
    </xf>
    <xf numFmtId="3" fontId="11" fillId="15" borderId="39" xfId="0" applyNumberFormat="1" applyFont="1" applyFill="1" applyBorder="1" applyAlignment="1">
      <alignment horizontal="center" vertical="center"/>
    </xf>
    <xf numFmtId="3" fontId="11" fillId="15" borderId="40" xfId="0" applyNumberFormat="1" applyFont="1" applyFill="1" applyBorder="1" applyAlignment="1">
      <alignment horizontal="center" vertical="center"/>
    </xf>
    <xf numFmtId="3" fontId="11" fillId="15" borderId="41" xfId="0" applyNumberFormat="1" applyFont="1" applyFill="1" applyBorder="1" applyAlignment="1">
      <alignment horizontal="center" vertical="center"/>
    </xf>
    <xf numFmtId="0" fontId="12" fillId="22" borderId="36" xfId="0" applyFont="1" applyFill="1" applyBorder="1" applyAlignment="1">
      <alignment horizontal="center" vertical="center"/>
    </xf>
    <xf numFmtId="0" fontId="12" fillId="22" borderId="37" xfId="0" applyFont="1" applyFill="1" applyBorder="1" applyAlignment="1">
      <alignment horizontal="center" vertical="center"/>
    </xf>
    <xf numFmtId="0" fontId="12" fillId="22" borderId="38" xfId="0" applyFont="1" applyFill="1" applyBorder="1" applyAlignment="1">
      <alignment horizontal="center" vertical="center"/>
    </xf>
    <xf numFmtId="0" fontId="12" fillId="22" borderId="39" xfId="0" applyFont="1" applyFill="1" applyBorder="1" applyAlignment="1">
      <alignment horizontal="center" vertical="center"/>
    </xf>
    <xf numFmtId="0" fontId="12" fillId="22" borderId="40" xfId="0" applyFont="1" applyFill="1" applyBorder="1" applyAlignment="1">
      <alignment horizontal="center" vertical="center"/>
    </xf>
    <xf numFmtId="0" fontId="12" fillId="22" borderId="41" xfId="0" applyFont="1" applyFill="1" applyBorder="1" applyAlignment="1">
      <alignment horizontal="center" vertical="center"/>
    </xf>
    <xf numFmtId="0" fontId="11" fillId="21" borderId="36" xfId="0" applyFont="1" applyFill="1" applyBorder="1" applyAlignment="1">
      <alignment horizontal="center" vertical="center"/>
    </xf>
    <xf numFmtId="0" fontId="12" fillId="21" borderId="37" xfId="0" applyFont="1" applyFill="1" applyBorder="1" applyAlignment="1">
      <alignment horizontal="center" vertical="center"/>
    </xf>
    <xf numFmtId="0" fontId="12" fillId="21" borderId="38" xfId="0" applyFont="1" applyFill="1" applyBorder="1" applyAlignment="1">
      <alignment horizontal="center" vertical="center"/>
    </xf>
    <xf numFmtId="0" fontId="11" fillId="21" borderId="39" xfId="0" applyFont="1" applyFill="1" applyBorder="1" applyAlignment="1">
      <alignment horizontal="center" vertical="center"/>
    </xf>
    <xf numFmtId="0" fontId="12" fillId="21" borderId="40" xfId="0" applyFont="1" applyFill="1" applyBorder="1" applyAlignment="1">
      <alignment horizontal="center" vertical="center"/>
    </xf>
    <xf numFmtId="0" fontId="12" fillId="21" borderId="41" xfId="0" applyFont="1" applyFill="1" applyBorder="1" applyAlignment="1">
      <alignment horizontal="center" vertical="center"/>
    </xf>
    <xf numFmtId="0" fontId="11" fillId="16" borderId="39" xfId="0" applyFont="1" applyFill="1" applyBorder="1" applyAlignment="1">
      <alignment horizontal="center" vertical="center"/>
    </xf>
    <xf numFmtId="3" fontId="11" fillId="0" borderId="40" xfId="0" applyNumberFormat="1" applyFont="1" applyFill="1" applyBorder="1" applyAlignment="1">
      <alignment horizontal="center" vertical="center"/>
    </xf>
    <xf numFmtId="3" fontId="11" fillId="0" borderId="41" xfId="0" applyNumberFormat="1" applyFont="1" applyFill="1" applyBorder="1" applyAlignment="1">
      <alignment horizontal="center" vertical="center"/>
    </xf>
    <xf numFmtId="3" fontId="11" fillId="0" borderId="39" xfId="0" applyNumberFormat="1" applyFont="1" applyFill="1" applyBorder="1" applyAlignment="1">
      <alignment horizontal="center" vertical="center"/>
    </xf>
    <xf numFmtId="4" fontId="11" fillId="0" borderId="13" xfId="0" applyNumberFormat="1" applyFont="1" applyBorder="1" applyAlignment="1">
      <alignment horizontal="center" vertical="center"/>
    </xf>
    <xf numFmtId="3" fontId="11" fillId="0" borderId="42" xfId="0" applyNumberFormat="1" applyFont="1" applyBorder="1" applyAlignment="1">
      <alignment horizontal="center" vertical="center"/>
    </xf>
    <xf numFmtId="3" fontId="11" fillId="0" borderId="43" xfId="0" applyNumberFormat="1" applyFont="1" applyBorder="1" applyAlignment="1">
      <alignment horizontal="center" vertical="center"/>
    </xf>
    <xf numFmtId="3" fontId="11" fillId="0" borderId="44" xfId="0" applyNumberFormat="1" applyFont="1" applyBorder="1" applyAlignment="1">
      <alignment horizontal="center" vertical="center"/>
    </xf>
    <xf numFmtId="3" fontId="11" fillId="15" borderId="44" xfId="0" applyNumberFormat="1" applyFont="1" applyFill="1" applyBorder="1" applyAlignment="1">
      <alignment horizontal="center" vertical="center"/>
    </xf>
    <xf numFmtId="3" fontId="11" fillId="0" borderId="21" xfId="0" applyNumberFormat="1" applyFont="1" applyBorder="1" applyAlignment="1">
      <alignment horizontal="center" vertical="center"/>
    </xf>
    <xf numFmtId="3" fontId="11" fillId="0" borderId="19" xfId="0" applyNumberFormat="1" applyFont="1" applyBorder="1" applyAlignment="1">
      <alignment horizontal="center" vertical="center"/>
    </xf>
  </cellXfs>
  <cellStyles count="7">
    <cellStyle name="Bad" xfId="5" builtinId="27"/>
    <cellStyle name="Comma 2" xfId="3"/>
    <cellStyle name="Good" xfId="4" builtinId="26"/>
    <cellStyle name="Input" xfId="6" builtinId="20"/>
    <cellStyle name="Normal" xfId="0" builtinId="0"/>
    <cellStyle name="Normal 2" xfId="1"/>
    <cellStyle name="Normal 3" xfId="2"/>
  </cellStyles>
  <dxfs count="40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D5A9C3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11</xdr:col>
      <xdr:colOff>238376</xdr:colOff>
      <xdr:row>53</xdr:row>
      <xdr:rowOff>169441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3" y="5827059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22</xdr:col>
      <xdr:colOff>257422</xdr:colOff>
      <xdr:row>53</xdr:row>
      <xdr:rowOff>188489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068235" y="5827059"/>
          <a:ext cx="6980952" cy="116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4</xdr:row>
      <xdr:rowOff>0</xdr:rowOff>
    </xdr:from>
    <xdr:to>
      <xdr:col>33</xdr:col>
      <xdr:colOff>257423</xdr:colOff>
      <xdr:row>53</xdr:row>
      <xdr:rowOff>159917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464118" y="5827059"/>
          <a:ext cx="6980952" cy="11580952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4</xdr:row>
      <xdr:rowOff>0</xdr:rowOff>
    </xdr:from>
    <xdr:to>
      <xdr:col>44</xdr:col>
      <xdr:colOff>311723</xdr:colOff>
      <xdr:row>53</xdr:row>
      <xdr:rowOff>49640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610618" y="5888182"/>
          <a:ext cx="6961905" cy="11590476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4</xdr:row>
      <xdr:rowOff>0</xdr:rowOff>
    </xdr:from>
    <xdr:to>
      <xdr:col>55</xdr:col>
      <xdr:colOff>311723</xdr:colOff>
      <xdr:row>51</xdr:row>
      <xdr:rowOff>149265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xmlns="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9925818" y="5888182"/>
          <a:ext cx="6961905" cy="11219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0</xdr:rowOff>
    </xdr:from>
    <xdr:to>
      <xdr:col>11</xdr:col>
      <xdr:colOff>311723</xdr:colOff>
      <xdr:row>104</xdr:row>
      <xdr:rowOff>130219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00000000-0008-0000-01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65018" y="18371127"/>
          <a:ext cx="6961905" cy="112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57</xdr:row>
      <xdr:rowOff>0</xdr:rowOff>
    </xdr:from>
    <xdr:to>
      <xdr:col>22</xdr:col>
      <xdr:colOff>321246</xdr:colOff>
      <xdr:row>104</xdr:row>
      <xdr:rowOff>139743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xmlns="" id="{00000000-0008-0000-01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980218" y="18371127"/>
          <a:ext cx="6971428" cy="11209524"/>
        </a:xfrm>
        <a:prstGeom prst="rect">
          <a:avLst/>
        </a:prstGeom>
      </xdr:spPr>
    </xdr:pic>
    <xdr:clientData/>
  </xdr:twoCellAnchor>
  <xdr:twoCellAnchor editAs="oneCell">
    <xdr:from>
      <xdr:col>23</xdr:col>
      <xdr:colOff>0</xdr:colOff>
      <xdr:row>57</xdr:row>
      <xdr:rowOff>0</xdr:rowOff>
    </xdr:from>
    <xdr:to>
      <xdr:col>33</xdr:col>
      <xdr:colOff>330770</xdr:colOff>
      <xdr:row>105</xdr:row>
      <xdr:rowOff>218500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xmlns="" id="{00000000-0008-0000-01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5295418" y="18371127"/>
          <a:ext cx="6980952" cy="11523809"/>
        </a:xfrm>
        <a:prstGeom prst="rect">
          <a:avLst/>
        </a:prstGeom>
      </xdr:spPr>
    </xdr:pic>
    <xdr:clientData/>
  </xdr:twoCellAnchor>
  <xdr:twoCellAnchor editAs="oneCell">
    <xdr:from>
      <xdr:col>0</xdr:col>
      <xdr:colOff>665017</xdr:colOff>
      <xdr:row>108</xdr:row>
      <xdr:rowOff>0</xdr:rowOff>
    </xdr:from>
    <xdr:to>
      <xdr:col>33</xdr:col>
      <xdr:colOff>10472</xdr:colOff>
      <xdr:row>157</xdr:row>
      <xdr:rowOff>55418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xmlns="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65017" y="25436945"/>
          <a:ext cx="21291055" cy="11596255"/>
        </a:xfrm>
        <a:prstGeom prst="rect">
          <a:avLst/>
        </a:prstGeom>
      </xdr:spPr>
    </xdr:pic>
    <xdr:clientData/>
  </xdr:twoCellAnchor>
  <xdr:twoCellAnchor editAs="oneCell">
    <xdr:from>
      <xdr:col>34</xdr:col>
      <xdr:colOff>0</xdr:colOff>
      <xdr:row>57</xdr:row>
      <xdr:rowOff>0</xdr:rowOff>
    </xdr:from>
    <xdr:to>
      <xdr:col>44</xdr:col>
      <xdr:colOff>330770</xdr:colOff>
      <xdr:row>106</xdr:row>
      <xdr:rowOff>49640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2610618" y="13425055"/>
          <a:ext cx="6980952" cy="1159047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12</xdr:col>
      <xdr:colOff>465828</xdr:colOff>
      <xdr:row>210</xdr:row>
      <xdr:rowOff>50002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09600" y="29177673"/>
          <a:ext cx="7171428" cy="86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162</xdr:row>
      <xdr:rowOff>0</xdr:rowOff>
    </xdr:from>
    <xdr:to>
      <xdr:col>25</xdr:col>
      <xdr:colOff>475276</xdr:colOff>
      <xdr:row>211</xdr:row>
      <xdr:rowOff>165131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924800" y="29177673"/>
          <a:ext cx="7790476" cy="8990476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162</xdr:row>
      <xdr:rowOff>0</xdr:rowOff>
    </xdr:from>
    <xdr:to>
      <xdr:col>38</xdr:col>
      <xdr:colOff>513371</xdr:colOff>
      <xdr:row>211</xdr:row>
      <xdr:rowOff>31798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xmlns="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5849600" y="29177673"/>
          <a:ext cx="7828571" cy="8857143"/>
        </a:xfrm>
        <a:prstGeom prst="rect">
          <a:avLst/>
        </a:prstGeom>
      </xdr:spPr>
    </xdr:pic>
    <xdr:clientData/>
  </xdr:twoCellAnchor>
  <xdr:twoCellAnchor editAs="oneCell">
    <xdr:from>
      <xdr:col>39</xdr:col>
      <xdr:colOff>0</xdr:colOff>
      <xdr:row>162</xdr:row>
      <xdr:rowOff>0</xdr:rowOff>
    </xdr:from>
    <xdr:to>
      <xdr:col>51</xdr:col>
      <xdr:colOff>532419</xdr:colOff>
      <xdr:row>211</xdr:row>
      <xdr:rowOff>88941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00000000-0008-0000-01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23774400" y="29177673"/>
          <a:ext cx="7847619" cy="8914286"/>
        </a:xfrm>
        <a:prstGeom prst="rect">
          <a:avLst/>
        </a:prstGeom>
      </xdr:spPr>
    </xdr:pic>
    <xdr:clientData/>
  </xdr:twoCellAnchor>
  <xdr:twoCellAnchor editAs="oneCell">
    <xdr:from>
      <xdr:col>52</xdr:col>
      <xdr:colOff>0</xdr:colOff>
      <xdr:row>162</xdr:row>
      <xdr:rowOff>0</xdr:rowOff>
    </xdr:from>
    <xdr:to>
      <xdr:col>64</xdr:col>
      <xdr:colOff>503848</xdr:colOff>
      <xdr:row>212</xdr:row>
      <xdr:rowOff>80260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00000000-0008-0000-01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31699200" y="29177673"/>
          <a:ext cx="7819048" cy="90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169600</xdr:colOff>
      <xdr:row>59</xdr:row>
      <xdr:rowOff>78674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4800000" cy="106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59</xdr:row>
      <xdr:rowOff>152400</xdr:rowOff>
    </xdr:from>
    <xdr:to>
      <xdr:col>25</xdr:col>
      <xdr:colOff>190551</xdr:colOff>
      <xdr:row>107</xdr:row>
      <xdr:rowOff>31303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980" y="10942320"/>
          <a:ext cx="14828571" cy="8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0</xdr:rowOff>
    </xdr:from>
    <xdr:to>
      <xdr:col>25</xdr:col>
      <xdr:colOff>283886</xdr:colOff>
      <xdr:row>166</xdr:row>
      <xdr:rowOff>13935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19933920"/>
          <a:ext cx="14914286" cy="104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"/>
  <sheetViews>
    <sheetView zoomScale="85" zoomScaleNormal="85" workbookViewId="0">
      <selection activeCell="W4" sqref="W4"/>
    </sheetView>
  </sheetViews>
  <sheetFormatPr defaultColWidth="9.109375" defaultRowHeight="13.2"/>
  <cols>
    <col min="1" max="1" width="14.6640625" style="11" customWidth="1"/>
    <col min="2" max="2" width="14.6640625" style="12" customWidth="1"/>
    <col min="3" max="4" width="14.6640625" style="11" customWidth="1"/>
    <col min="5" max="6" width="9.109375" style="5"/>
    <col min="7" max="7" width="19" style="5" customWidth="1"/>
    <col min="8" max="17" width="10.5546875" style="5" customWidth="1"/>
    <col min="18" max="20" width="8.109375" style="5" bestFit="1" customWidth="1"/>
    <col min="21" max="24" width="8.5546875" style="5" bestFit="1" customWidth="1"/>
    <col min="25" max="28" width="9.77734375" style="5" bestFit="1" customWidth="1"/>
    <col min="29" max="16384" width="9.109375" style="5"/>
  </cols>
  <sheetData>
    <row r="1" spans="1:28" ht="16.8">
      <c r="A1" s="93" t="s">
        <v>0</v>
      </c>
      <c r="B1" s="94"/>
      <c r="C1" s="94"/>
      <c r="D1" s="94"/>
    </row>
    <row r="2" spans="1:28" ht="25.2">
      <c r="A2" s="48" t="s">
        <v>1</v>
      </c>
      <c r="B2" s="49"/>
      <c r="C2" s="50"/>
      <c r="D2" s="84">
        <v>1</v>
      </c>
      <c r="H2" s="42"/>
      <c r="I2" s="42"/>
      <c r="J2" s="98" t="s">
        <v>50</v>
      </c>
      <c r="K2" s="98"/>
      <c r="L2" s="98" t="s">
        <v>51</v>
      </c>
      <c r="M2" s="98"/>
      <c r="N2" s="98" t="s">
        <v>52</v>
      </c>
      <c r="O2" s="98"/>
      <c r="P2" s="98"/>
      <c r="Q2" s="42"/>
      <c r="R2" s="42"/>
      <c r="S2" s="42"/>
      <c r="T2" s="42"/>
      <c r="U2" s="42"/>
      <c r="V2" s="42"/>
      <c r="W2" s="42"/>
      <c r="X2" s="42"/>
    </row>
    <row r="3" spans="1:28" ht="16.8">
      <c r="A3" s="48" t="s">
        <v>2</v>
      </c>
      <c r="B3" s="49"/>
      <c r="C3" s="50"/>
      <c r="D3" s="45">
        <f>D2</f>
        <v>1</v>
      </c>
      <c r="G3" s="29"/>
      <c r="H3" s="22"/>
      <c r="I3" s="22"/>
      <c r="J3" s="95">
        <f>SUM('Bảng Input L30'!B13:B37)</f>
        <v>44.096149164770779</v>
      </c>
      <c r="K3" s="95"/>
      <c r="L3" s="96">
        <f>J3*91</f>
        <v>4012.749573994141</v>
      </c>
      <c r="M3" s="96"/>
      <c r="N3" s="97">
        <f>L3+'Bảng Input L30'!C35</f>
        <v>7556.1273381341707</v>
      </c>
      <c r="O3" s="97"/>
      <c r="P3" s="97"/>
      <c r="Q3" s="22"/>
      <c r="R3" s="22"/>
      <c r="S3" s="22"/>
      <c r="T3" s="22"/>
      <c r="U3" s="22"/>
      <c r="V3" s="22"/>
      <c r="W3" s="22"/>
      <c r="X3" s="22"/>
    </row>
    <row r="4" spans="1:28" ht="18.600000000000001">
      <c r="A4" s="48" t="s">
        <v>3</v>
      </c>
      <c r="B4" s="49"/>
      <c r="C4" s="50"/>
      <c r="D4" s="45">
        <f>D3</f>
        <v>1</v>
      </c>
      <c r="G4" s="30" t="s">
        <v>14</v>
      </c>
      <c r="H4" s="82">
        <f>D9</f>
        <v>1.6180000000000001</v>
      </c>
      <c r="I4" s="1">
        <v>1.3819999999999999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8" ht="18.600000000000001">
      <c r="A5" s="48" t="s">
        <v>4</v>
      </c>
      <c r="B5" s="49"/>
      <c r="C5" s="50"/>
      <c r="D5" s="45">
        <f>D4</f>
        <v>1</v>
      </c>
      <c r="G5" s="30" t="s">
        <v>56</v>
      </c>
      <c r="H5" s="83">
        <v>3</v>
      </c>
      <c r="I5" s="2">
        <v>1.6180000000000001</v>
      </c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8" ht="20.399999999999999">
      <c r="A6" s="48" t="s">
        <v>5</v>
      </c>
      <c r="B6" s="49"/>
      <c r="C6" s="50"/>
      <c r="D6" s="45">
        <f>D5</f>
        <v>1</v>
      </c>
      <c r="G6" s="30" t="s">
        <v>74</v>
      </c>
      <c r="H6" s="83">
        <v>6</v>
      </c>
      <c r="N6" s="43" t="s">
        <v>13</v>
      </c>
    </row>
    <row r="7" spans="1:28" ht="16.8">
      <c r="A7" s="48" t="s">
        <v>6</v>
      </c>
      <c r="B7" s="49"/>
      <c r="C7" s="50"/>
      <c r="D7" s="45">
        <f>D6</f>
        <v>1</v>
      </c>
      <c r="G7" s="1"/>
      <c r="H7" s="1"/>
      <c r="I7" s="40">
        <v>2200</v>
      </c>
      <c r="J7" s="40">
        <f>I7-H$5</f>
        <v>2197</v>
      </c>
      <c r="K7" s="40">
        <f t="shared" ref="K7:X7" si="0">J7-$H$5</f>
        <v>2194</v>
      </c>
      <c r="L7" s="40">
        <f t="shared" si="0"/>
        <v>2191</v>
      </c>
      <c r="M7" s="40">
        <f t="shared" si="0"/>
        <v>2188</v>
      </c>
      <c r="N7" s="40">
        <f t="shared" si="0"/>
        <v>2185</v>
      </c>
      <c r="O7" s="40">
        <f t="shared" si="0"/>
        <v>2182</v>
      </c>
      <c r="P7" s="40">
        <f t="shared" si="0"/>
        <v>2179</v>
      </c>
      <c r="Q7" s="40">
        <f t="shared" si="0"/>
        <v>2176</v>
      </c>
      <c r="R7" s="40">
        <f t="shared" si="0"/>
        <v>2173</v>
      </c>
      <c r="S7" s="40">
        <f t="shared" si="0"/>
        <v>2170</v>
      </c>
      <c r="T7" s="40">
        <f t="shared" si="0"/>
        <v>2167</v>
      </c>
      <c r="U7" s="40">
        <f t="shared" si="0"/>
        <v>2164</v>
      </c>
      <c r="V7" s="40">
        <f t="shared" si="0"/>
        <v>2161</v>
      </c>
      <c r="W7" s="40">
        <f t="shared" si="0"/>
        <v>2158</v>
      </c>
      <c r="X7" s="40">
        <f t="shared" si="0"/>
        <v>2155</v>
      </c>
      <c r="Y7" s="40">
        <f t="shared" ref="Y7" si="1">X7-$H$5</f>
        <v>2152</v>
      </c>
      <c r="Z7" s="40">
        <f t="shared" ref="Z7" si="2">Y7-$H$5</f>
        <v>2149</v>
      </c>
      <c r="AA7" s="40">
        <f t="shared" ref="AA7" si="3">Z7-$H$5</f>
        <v>2146</v>
      </c>
      <c r="AB7" s="40">
        <f t="shared" ref="AB7" si="4">AA7-$H$5</f>
        <v>2143</v>
      </c>
    </row>
    <row r="8" spans="1:28" ht="16.8">
      <c r="A8" s="48" t="s">
        <v>75</v>
      </c>
      <c r="B8" s="49"/>
      <c r="C8" s="50"/>
      <c r="D8" s="46">
        <v>0.01</v>
      </c>
      <c r="G8" s="1"/>
      <c r="H8" s="1"/>
      <c r="I8" s="40">
        <v>0</v>
      </c>
      <c r="J8" s="40">
        <f t="shared" ref="J8:X8" si="5">$I$7-J7</f>
        <v>3</v>
      </c>
      <c r="K8" s="40">
        <f t="shared" si="5"/>
        <v>6</v>
      </c>
      <c r="L8" s="40">
        <f t="shared" si="5"/>
        <v>9</v>
      </c>
      <c r="M8" s="40">
        <f t="shared" si="5"/>
        <v>12</v>
      </c>
      <c r="N8" s="40">
        <f t="shared" si="5"/>
        <v>15</v>
      </c>
      <c r="O8" s="40">
        <f t="shared" si="5"/>
        <v>18</v>
      </c>
      <c r="P8" s="40">
        <f t="shared" si="5"/>
        <v>21</v>
      </c>
      <c r="Q8" s="40">
        <f t="shared" si="5"/>
        <v>24</v>
      </c>
      <c r="R8" s="40">
        <f t="shared" si="5"/>
        <v>27</v>
      </c>
      <c r="S8" s="40">
        <f t="shared" si="5"/>
        <v>30</v>
      </c>
      <c r="T8" s="40">
        <f t="shared" si="5"/>
        <v>33</v>
      </c>
      <c r="U8" s="40">
        <f t="shared" si="5"/>
        <v>36</v>
      </c>
      <c r="V8" s="40">
        <f t="shared" si="5"/>
        <v>39</v>
      </c>
      <c r="W8" s="40">
        <f t="shared" si="5"/>
        <v>42</v>
      </c>
      <c r="X8" s="40">
        <f t="shared" si="5"/>
        <v>45</v>
      </c>
      <c r="Y8" s="40">
        <f t="shared" ref="Y8:AB8" si="6">$I$7-Y7</f>
        <v>48</v>
      </c>
      <c r="Z8" s="40">
        <f t="shared" si="6"/>
        <v>51</v>
      </c>
      <c r="AA8" s="40">
        <f t="shared" si="6"/>
        <v>54</v>
      </c>
      <c r="AB8" s="40">
        <f t="shared" si="6"/>
        <v>57</v>
      </c>
    </row>
    <row r="9" spans="1:28" ht="16.8">
      <c r="A9" s="48" t="s">
        <v>7</v>
      </c>
      <c r="B9" s="49"/>
      <c r="C9" s="50"/>
      <c r="D9" s="47">
        <v>1.6180000000000001</v>
      </c>
      <c r="G9" s="31" t="s">
        <v>17</v>
      </c>
      <c r="H9" s="31" t="s">
        <v>55</v>
      </c>
      <c r="I9" s="31" t="s">
        <v>18</v>
      </c>
      <c r="J9" s="31" t="s">
        <v>19</v>
      </c>
      <c r="K9" s="31" t="s">
        <v>20</v>
      </c>
      <c r="L9" s="31" t="s">
        <v>21</v>
      </c>
      <c r="M9" s="31" t="s">
        <v>22</v>
      </c>
      <c r="N9" s="31" t="s">
        <v>23</v>
      </c>
      <c r="O9" s="31" t="s">
        <v>24</v>
      </c>
      <c r="P9" s="31" t="s">
        <v>25</v>
      </c>
      <c r="Q9" s="31" t="s">
        <v>26</v>
      </c>
      <c r="R9" s="31" t="s">
        <v>27</v>
      </c>
      <c r="S9" s="31" t="s">
        <v>28</v>
      </c>
      <c r="T9" s="31" t="s">
        <v>29</v>
      </c>
      <c r="U9" s="31" t="s">
        <v>30</v>
      </c>
      <c r="V9" s="31" t="s">
        <v>31</v>
      </c>
      <c r="W9" s="31" t="s">
        <v>32</v>
      </c>
      <c r="X9" s="31" t="s">
        <v>33</v>
      </c>
      <c r="Y9" s="31" t="s">
        <v>78</v>
      </c>
      <c r="Z9" s="31" t="s">
        <v>79</v>
      </c>
      <c r="AA9" s="31" t="s">
        <v>80</v>
      </c>
      <c r="AB9" s="31" t="s">
        <v>81</v>
      </c>
    </row>
    <row r="10" spans="1:28" ht="18.600000000000001">
      <c r="A10" s="48" t="s">
        <v>76</v>
      </c>
      <c r="B10" s="49"/>
      <c r="C10" s="50"/>
      <c r="D10" s="85">
        <v>15</v>
      </c>
      <c r="G10" s="35" t="s">
        <v>54</v>
      </c>
      <c r="H10" s="83"/>
      <c r="I10" s="31">
        <v>1</v>
      </c>
      <c r="J10" s="31">
        <v>2</v>
      </c>
      <c r="K10" s="31">
        <v>3</v>
      </c>
      <c r="L10" s="31">
        <v>4</v>
      </c>
      <c r="M10" s="31">
        <v>5</v>
      </c>
      <c r="N10" s="31">
        <v>6</v>
      </c>
      <c r="O10" s="31">
        <v>7</v>
      </c>
      <c r="P10" s="31">
        <v>8</v>
      </c>
      <c r="Q10" s="31">
        <v>9</v>
      </c>
      <c r="R10" s="31">
        <v>10</v>
      </c>
      <c r="S10" s="31">
        <v>11</v>
      </c>
      <c r="T10" s="31">
        <v>12</v>
      </c>
      <c r="U10" s="31">
        <v>13</v>
      </c>
      <c r="V10" s="31">
        <v>14</v>
      </c>
      <c r="W10" s="31">
        <v>15</v>
      </c>
      <c r="X10" s="31">
        <v>16</v>
      </c>
      <c r="Y10" s="31">
        <v>17</v>
      </c>
      <c r="Z10" s="31">
        <v>18</v>
      </c>
      <c r="AA10" s="31">
        <v>19</v>
      </c>
      <c r="AB10" s="31">
        <v>20</v>
      </c>
    </row>
    <row r="11" spans="1:28" ht="17.399999999999999" thickBot="1">
      <c r="A11" s="6"/>
      <c r="B11" s="7"/>
      <c r="C11" s="6"/>
      <c r="D11" s="6"/>
      <c r="G11" s="36">
        <v>1</v>
      </c>
      <c r="H11" s="37">
        <f>'Bảng Input L30'!B13</f>
        <v>0.01</v>
      </c>
      <c r="I11" s="33">
        <f>H11*H6*100</f>
        <v>6</v>
      </c>
      <c r="J11" s="33">
        <f>H11*100*(H6-H5)</f>
        <v>3</v>
      </c>
      <c r="K11" s="33">
        <f t="shared" ref="K11:AB11" si="7">$H$11*100*($H$6-$H$5*J10)</f>
        <v>0</v>
      </c>
      <c r="L11" s="33">
        <f t="shared" si="7"/>
        <v>-3</v>
      </c>
      <c r="M11" s="33">
        <f>$H$11*100*($H$6-$H$5*L10)</f>
        <v>-6</v>
      </c>
      <c r="N11" s="33">
        <f t="shared" si="7"/>
        <v>-9</v>
      </c>
      <c r="O11" s="33">
        <f t="shared" si="7"/>
        <v>-12</v>
      </c>
      <c r="P11" s="33">
        <f t="shared" si="7"/>
        <v>-15</v>
      </c>
      <c r="Q11" s="33">
        <f t="shared" si="7"/>
        <v>-18</v>
      </c>
      <c r="R11" s="33">
        <f t="shared" si="7"/>
        <v>-21</v>
      </c>
      <c r="S11" s="33">
        <f t="shared" si="7"/>
        <v>-24</v>
      </c>
      <c r="T11" s="33">
        <f t="shared" si="7"/>
        <v>-27</v>
      </c>
      <c r="U11" s="33">
        <f t="shared" si="7"/>
        <v>-30</v>
      </c>
      <c r="V11" s="33">
        <f t="shared" si="7"/>
        <v>-33</v>
      </c>
      <c r="W11" s="33">
        <f t="shared" si="7"/>
        <v>-36</v>
      </c>
      <c r="X11" s="33">
        <f t="shared" si="7"/>
        <v>-39</v>
      </c>
      <c r="Y11" s="33">
        <f t="shared" si="7"/>
        <v>-42</v>
      </c>
      <c r="Z11" s="33">
        <f t="shared" si="7"/>
        <v>-45</v>
      </c>
      <c r="AA11" s="33">
        <f t="shared" si="7"/>
        <v>-48</v>
      </c>
      <c r="AB11" s="33">
        <f t="shared" si="7"/>
        <v>-51</v>
      </c>
    </row>
    <row r="12" spans="1:28" ht="18" thickTop="1" thickBot="1">
      <c r="A12" s="23" t="s">
        <v>8</v>
      </c>
      <c r="B12" s="24" t="s">
        <v>9</v>
      </c>
      <c r="C12" s="25" t="s">
        <v>10</v>
      </c>
      <c r="D12" s="25" t="s">
        <v>11</v>
      </c>
      <c r="G12" s="36">
        <v>2</v>
      </c>
      <c r="H12" s="32">
        <f t="shared" ref="H12:H30" si="8">H11*$H$4</f>
        <v>1.618E-2</v>
      </c>
      <c r="I12" s="3"/>
      <c r="J12" s="33">
        <f>H12*100*H6</f>
        <v>9.7079999999999984</v>
      </c>
      <c r="K12" s="33">
        <f>H12*100*(H6-H5)</f>
        <v>4.8539999999999992</v>
      </c>
      <c r="L12" s="33">
        <f t="shared" ref="L12:AB12" si="9">$H$12*100*($H$6-$H$5*J10)</f>
        <v>0</v>
      </c>
      <c r="M12" s="33">
        <f t="shared" si="9"/>
        <v>-4.8539999999999992</v>
      </c>
      <c r="N12" s="33">
        <f t="shared" si="9"/>
        <v>-9.7079999999999984</v>
      </c>
      <c r="O12" s="33">
        <f t="shared" si="9"/>
        <v>-14.561999999999999</v>
      </c>
      <c r="P12" s="33">
        <f t="shared" si="9"/>
        <v>-19.415999999999997</v>
      </c>
      <c r="Q12" s="33">
        <f t="shared" si="9"/>
        <v>-24.27</v>
      </c>
      <c r="R12" s="33">
        <f t="shared" si="9"/>
        <v>-29.123999999999999</v>
      </c>
      <c r="S12" s="33">
        <f t="shared" si="9"/>
        <v>-33.977999999999994</v>
      </c>
      <c r="T12" s="33">
        <f t="shared" si="9"/>
        <v>-38.831999999999994</v>
      </c>
      <c r="U12" s="33">
        <f t="shared" si="9"/>
        <v>-43.686</v>
      </c>
      <c r="V12" s="33">
        <f t="shared" si="9"/>
        <v>-48.54</v>
      </c>
      <c r="W12" s="33">
        <f t="shared" si="9"/>
        <v>-53.393999999999998</v>
      </c>
      <c r="X12" s="33">
        <f t="shared" si="9"/>
        <v>-58.247999999999998</v>
      </c>
      <c r="Y12" s="33">
        <f t="shared" si="9"/>
        <v>-63.101999999999997</v>
      </c>
      <c r="Z12" s="33">
        <f t="shared" si="9"/>
        <v>-67.955999999999989</v>
      </c>
      <c r="AA12" s="33">
        <f t="shared" si="9"/>
        <v>-72.809999999999988</v>
      </c>
      <c r="AB12" s="33">
        <f t="shared" si="9"/>
        <v>-77.663999999999987</v>
      </c>
    </row>
    <row r="13" spans="1:28" ht="17.399999999999999" thickTop="1">
      <c r="A13" s="26" t="str">
        <f>IF($D$10&gt;0,"L1",0)</f>
        <v>L1</v>
      </c>
      <c r="B13" s="8">
        <f>+D8</f>
        <v>0.01</v>
      </c>
      <c r="C13" s="9">
        <f>+B13*D13*100</f>
        <v>14.000000000000002</v>
      </c>
      <c r="D13" s="9">
        <f>IF(A13=0,0,$D$2+$D$3+$D$4+$D$5+$D$6+($D$7*($D$10-6)))</f>
        <v>14</v>
      </c>
      <c r="G13" s="36">
        <v>3</v>
      </c>
      <c r="H13" s="32">
        <f t="shared" si="8"/>
        <v>2.6179240000000003E-2</v>
      </c>
      <c r="I13" s="3"/>
      <c r="J13" s="3"/>
      <c r="K13" s="33">
        <f>H13*100*H6</f>
        <v>15.707544000000002</v>
      </c>
      <c r="L13" s="33">
        <f>H13*100*(H6-H5)</f>
        <v>7.8537720000000011</v>
      </c>
      <c r="M13" s="33">
        <f t="shared" ref="M13:AB13" si="10">$H$13*100*($H$6-$H$5*J10)</f>
        <v>0</v>
      </c>
      <c r="N13" s="33">
        <f t="shared" si="10"/>
        <v>-7.8537720000000011</v>
      </c>
      <c r="O13" s="33">
        <f t="shared" si="10"/>
        <v>-15.707544000000002</v>
      </c>
      <c r="P13" s="33">
        <f t="shared" si="10"/>
        <v>-23.561316000000005</v>
      </c>
      <c r="Q13" s="33">
        <f t="shared" si="10"/>
        <v>-31.415088000000004</v>
      </c>
      <c r="R13" s="33">
        <f t="shared" si="10"/>
        <v>-39.268860000000004</v>
      </c>
      <c r="S13" s="33">
        <f t="shared" si="10"/>
        <v>-47.12263200000001</v>
      </c>
      <c r="T13" s="33">
        <f t="shared" si="10"/>
        <v>-54.976404000000009</v>
      </c>
      <c r="U13" s="33">
        <f t="shared" si="10"/>
        <v>-62.830176000000009</v>
      </c>
      <c r="V13" s="33">
        <f t="shared" si="10"/>
        <v>-70.683948000000015</v>
      </c>
      <c r="W13" s="33">
        <f t="shared" si="10"/>
        <v>-78.537720000000007</v>
      </c>
      <c r="X13" s="33">
        <f t="shared" si="10"/>
        <v>-86.391492000000014</v>
      </c>
      <c r="Y13" s="33">
        <f t="shared" si="10"/>
        <v>-94.24526400000002</v>
      </c>
      <c r="Z13" s="33">
        <f t="shared" si="10"/>
        <v>-102.09903600000001</v>
      </c>
      <c r="AA13" s="33">
        <f t="shared" si="10"/>
        <v>-109.95280800000002</v>
      </c>
      <c r="AB13" s="33">
        <f t="shared" si="10"/>
        <v>-117.80658000000001</v>
      </c>
    </row>
    <row r="14" spans="1:28" ht="16.8">
      <c r="A14" s="26" t="str">
        <f t="shared" ref="A14:A34" si="11">IF(A13=0,0,IF(VALUE(MID(A13,2,2))&gt;=$D$10,0,"L"&amp;VALUE(MID(A13,2,2))+1))</f>
        <v>L2</v>
      </c>
      <c r="B14" s="10">
        <f t="shared" ref="B14:B34" si="12">IF(A14&lt;&gt;0,B13*$D$9,0)</f>
        <v>1.618E-2</v>
      </c>
      <c r="C14" s="9">
        <f t="shared" ref="C14:C34" si="13">+B14*D14*100</f>
        <v>21.033999999999999</v>
      </c>
      <c r="D14" s="9">
        <f>IF(A14=0,0,$D$3+$D$4+$D$5+$D$6+($D$7*($D$10-6)))</f>
        <v>13</v>
      </c>
      <c r="G14" s="36">
        <v>4</v>
      </c>
      <c r="H14" s="32">
        <f t="shared" si="8"/>
        <v>4.2358010320000007E-2</v>
      </c>
      <c r="I14" s="3"/>
      <c r="J14" s="3"/>
      <c r="K14" s="3"/>
      <c r="L14" s="33">
        <f>H14*100*H6</f>
        <v>25.414806192</v>
      </c>
      <c r="M14" s="33">
        <f>H14*100*(H6-H5)</f>
        <v>12.707403096</v>
      </c>
      <c r="N14" s="33">
        <f t="shared" ref="N14:AB14" si="14">$H$14*100*($H$6-$H$5*J10)</f>
        <v>0</v>
      </c>
      <c r="O14" s="33">
        <f t="shared" si="14"/>
        <v>-12.707403096</v>
      </c>
      <c r="P14" s="33">
        <f t="shared" si="14"/>
        <v>-25.414806192</v>
      </c>
      <c r="Q14" s="33">
        <f t="shared" si="14"/>
        <v>-38.122209288000001</v>
      </c>
      <c r="R14" s="33">
        <f t="shared" si="14"/>
        <v>-50.829612384000001</v>
      </c>
      <c r="S14" s="33">
        <f t="shared" si="14"/>
        <v>-63.537015480000008</v>
      </c>
      <c r="T14" s="33">
        <f t="shared" si="14"/>
        <v>-76.244418576000001</v>
      </c>
      <c r="U14" s="33">
        <f t="shared" si="14"/>
        <v>-88.951821672000008</v>
      </c>
      <c r="V14" s="33">
        <f t="shared" si="14"/>
        <v>-101.659224768</v>
      </c>
      <c r="W14" s="33">
        <f t="shared" si="14"/>
        <v>-114.36662786400001</v>
      </c>
      <c r="X14" s="33">
        <f t="shared" si="14"/>
        <v>-127.07403096000002</v>
      </c>
      <c r="Y14" s="33">
        <f t="shared" si="14"/>
        <v>-139.78143405600002</v>
      </c>
      <c r="Z14" s="33">
        <f t="shared" si="14"/>
        <v>-152.488837152</v>
      </c>
      <c r="AA14" s="33">
        <f t="shared" si="14"/>
        <v>-165.19624024800001</v>
      </c>
      <c r="AB14" s="33">
        <f t="shared" si="14"/>
        <v>-177.90364334400002</v>
      </c>
    </row>
    <row r="15" spans="1:28" ht="16.8">
      <c r="A15" s="26" t="str">
        <f t="shared" si="11"/>
        <v>L3</v>
      </c>
      <c r="B15" s="10">
        <f t="shared" si="12"/>
        <v>2.6179240000000003E-2</v>
      </c>
      <c r="C15" s="9">
        <f t="shared" si="13"/>
        <v>31.415088000000001</v>
      </c>
      <c r="D15" s="9">
        <f>IF(A15=0,0,$D$4+$D$5+$D$6+($D$7*($D$10-6)))</f>
        <v>12</v>
      </c>
      <c r="G15" s="36">
        <v>5</v>
      </c>
      <c r="H15" s="32">
        <f t="shared" si="8"/>
        <v>6.8535260697760017E-2</v>
      </c>
      <c r="I15" s="4"/>
      <c r="J15" s="3"/>
      <c r="K15" s="3"/>
      <c r="L15" s="3"/>
      <c r="M15" s="33">
        <f>H15*H6*100</f>
        <v>41.121156418656014</v>
      </c>
      <c r="N15" s="33">
        <f>H15*100*(H6-H5)</f>
        <v>20.560578209328003</v>
      </c>
      <c r="O15" s="33">
        <f t="shared" ref="O15:AB15" si="15">$H$15*100*($H$6-$H$5*J10)</f>
        <v>0</v>
      </c>
      <c r="P15" s="33">
        <f t="shared" si="15"/>
        <v>-20.560578209328003</v>
      </c>
      <c r="Q15" s="33">
        <f t="shared" si="15"/>
        <v>-41.121156418656007</v>
      </c>
      <c r="R15" s="33">
        <f t="shared" si="15"/>
        <v>-61.681734627984014</v>
      </c>
      <c r="S15" s="33">
        <f t="shared" si="15"/>
        <v>-82.242312837312014</v>
      </c>
      <c r="T15" s="33">
        <f t="shared" si="15"/>
        <v>-102.80289104664003</v>
      </c>
      <c r="U15" s="33">
        <f t="shared" si="15"/>
        <v>-123.36346925596803</v>
      </c>
      <c r="V15" s="33">
        <f t="shared" si="15"/>
        <v>-143.92404746529604</v>
      </c>
      <c r="W15" s="33">
        <f t="shared" si="15"/>
        <v>-164.48462567462403</v>
      </c>
      <c r="X15" s="33">
        <f t="shared" si="15"/>
        <v>-185.04520388395204</v>
      </c>
      <c r="Y15" s="33">
        <f t="shared" si="15"/>
        <v>-205.60578209328006</v>
      </c>
      <c r="Z15" s="33">
        <f t="shared" si="15"/>
        <v>-226.16636030260804</v>
      </c>
      <c r="AA15" s="33">
        <f t="shared" si="15"/>
        <v>-246.72693851193605</v>
      </c>
      <c r="AB15" s="33">
        <f t="shared" si="15"/>
        <v>-267.28751672126407</v>
      </c>
    </row>
    <row r="16" spans="1:28" ht="16.8">
      <c r="A16" s="26" t="str">
        <f t="shared" si="11"/>
        <v>L4</v>
      </c>
      <c r="B16" s="10">
        <f t="shared" si="12"/>
        <v>4.2358010320000007E-2</v>
      </c>
      <c r="C16" s="9">
        <f t="shared" si="13"/>
        <v>46.59381135200001</v>
      </c>
      <c r="D16" s="9">
        <f>IF(A16=0,0,$D$5+$D$6+($D$7*($D$10-6)))</f>
        <v>11</v>
      </c>
      <c r="G16" s="36">
        <v>6</v>
      </c>
      <c r="H16" s="32">
        <f t="shared" si="8"/>
        <v>0.11089005180897571</v>
      </c>
      <c r="I16" s="3"/>
      <c r="J16" s="3"/>
      <c r="K16" s="3"/>
      <c r="L16" s="3"/>
      <c r="M16" s="3"/>
      <c r="N16" s="33">
        <f>H16*H6*100</f>
        <v>66.534031085385422</v>
      </c>
      <c r="O16" s="33">
        <f>H16*100*(H6-H5)</f>
        <v>33.267015542692711</v>
      </c>
      <c r="P16" s="33">
        <f t="shared" ref="P16:X16" si="16">$H$16*100*($H$6-$H$5*J10)</f>
        <v>0</v>
      </c>
      <c r="Q16" s="33">
        <f t="shared" si="16"/>
        <v>-33.267015542692711</v>
      </c>
      <c r="R16" s="33">
        <f t="shared" si="16"/>
        <v>-66.534031085385422</v>
      </c>
      <c r="S16" s="33">
        <f t="shared" si="16"/>
        <v>-99.80104662807814</v>
      </c>
      <c r="T16" s="33">
        <f t="shared" si="16"/>
        <v>-133.06806217077084</v>
      </c>
      <c r="U16" s="33">
        <f t="shared" si="16"/>
        <v>-166.33507771346356</v>
      </c>
      <c r="V16" s="33">
        <f t="shared" si="16"/>
        <v>-199.60209325615628</v>
      </c>
      <c r="W16" s="33">
        <f t="shared" si="16"/>
        <v>-232.869108798849</v>
      </c>
      <c r="X16" s="33">
        <f t="shared" si="16"/>
        <v>-266.13612434154169</v>
      </c>
      <c r="Y16" s="33">
        <f t="shared" ref="Y16" si="17">$H$16*100*($H$6-$H$5*S10)</f>
        <v>-299.40313988423441</v>
      </c>
      <c r="Z16" s="33">
        <f t="shared" ref="Z16" si="18">$H$16*100*($H$6-$H$5*T10)</f>
        <v>-332.67015542692712</v>
      </c>
      <c r="AA16" s="33">
        <f t="shared" ref="AA16" si="19">$H$16*100*($H$6-$H$5*U10)</f>
        <v>-365.93717096961984</v>
      </c>
      <c r="AB16" s="33">
        <f t="shared" ref="AB16" si="20">$H$16*100*($H$6-$H$5*V10)</f>
        <v>-399.20418651231256</v>
      </c>
    </row>
    <row r="17" spans="1:28" ht="16.8">
      <c r="A17" s="26" t="str">
        <f t="shared" si="11"/>
        <v>L5</v>
      </c>
      <c r="B17" s="10">
        <f t="shared" si="12"/>
        <v>6.8535260697760017E-2</v>
      </c>
      <c r="C17" s="9">
        <f t="shared" si="13"/>
        <v>68.535260697760009</v>
      </c>
      <c r="D17" s="9">
        <f>IF(A17=0,0,$D$6+($D$7*($D$10-6)))</f>
        <v>10</v>
      </c>
      <c r="G17" s="36">
        <v>7</v>
      </c>
      <c r="H17" s="32">
        <f t="shared" si="8"/>
        <v>0.17942010382692272</v>
      </c>
      <c r="I17" s="3"/>
      <c r="J17" s="3"/>
      <c r="K17" s="3"/>
      <c r="L17" s="3"/>
      <c r="M17" s="3"/>
      <c r="N17" s="3"/>
      <c r="O17" s="33">
        <f>H6*H17*100</f>
        <v>107.65206229615363</v>
      </c>
      <c r="P17" s="33">
        <f>H17*100*(H6-H5)</f>
        <v>53.826031148076808</v>
      </c>
      <c r="Q17" s="33">
        <f t="shared" ref="Q17:X17" si="21">$H$17*100*($H$6-$H$5*J10)</f>
        <v>0</v>
      </c>
      <c r="R17" s="33">
        <f t="shared" si="21"/>
        <v>-53.826031148076808</v>
      </c>
      <c r="S17" s="33">
        <f t="shared" si="21"/>
        <v>-107.65206229615362</v>
      </c>
      <c r="T17" s="33">
        <f t="shared" si="21"/>
        <v>-161.47809344423044</v>
      </c>
      <c r="U17" s="33">
        <f t="shared" si="21"/>
        <v>-215.30412459230723</v>
      </c>
      <c r="V17" s="33">
        <f t="shared" si="21"/>
        <v>-269.13015574038405</v>
      </c>
      <c r="W17" s="33">
        <f t="shared" si="21"/>
        <v>-322.95618688846088</v>
      </c>
      <c r="X17" s="33">
        <f t="shared" si="21"/>
        <v>-376.7822180365377</v>
      </c>
      <c r="Y17" s="33">
        <f t="shared" ref="Y17" si="22">$H$17*100*($H$6-$H$5*R10)</f>
        <v>-430.60824918461446</v>
      </c>
      <c r="Z17" s="33">
        <f t="shared" ref="Z17" si="23">$H$17*100*($H$6-$H$5*S10)</f>
        <v>-484.43428033269129</v>
      </c>
      <c r="AA17" s="33">
        <f t="shared" ref="AA17" si="24">$H$17*100*($H$6-$H$5*T10)</f>
        <v>-538.26031148076811</v>
      </c>
      <c r="AB17" s="33">
        <f t="shared" ref="AB17" si="25">$H$17*100*($H$6-$H$5*U10)</f>
        <v>-592.08634262884493</v>
      </c>
    </row>
    <row r="18" spans="1:28" ht="16.8">
      <c r="A18" s="26" t="str">
        <f t="shared" si="11"/>
        <v>L6</v>
      </c>
      <c r="B18" s="10">
        <f t="shared" si="12"/>
        <v>0.11089005180897571</v>
      </c>
      <c r="C18" s="9">
        <f t="shared" si="13"/>
        <v>99.80104662807814</v>
      </c>
      <c r="D18" s="9">
        <f>IF(A18=0,0,($D$7*($D$10-6)))</f>
        <v>9</v>
      </c>
      <c r="G18" s="36">
        <v>8</v>
      </c>
      <c r="H18" s="32">
        <f t="shared" si="8"/>
        <v>0.29030172799196097</v>
      </c>
      <c r="I18" s="3"/>
      <c r="J18" s="3"/>
      <c r="K18" s="3"/>
      <c r="L18" s="3"/>
      <c r="M18" s="3"/>
      <c r="N18" s="3"/>
      <c r="O18" s="3"/>
      <c r="P18" s="33">
        <f>H6*H18*100</f>
        <v>174.18103679517657</v>
      </c>
      <c r="Q18" s="33">
        <f>H18*100*(H6-H5)</f>
        <v>87.090518397588298</v>
      </c>
      <c r="R18" s="33">
        <f t="shared" ref="R18:X18" si="26">$H$18*100*($H$6-$H$5*J10)</f>
        <v>0</v>
      </c>
      <c r="S18" s="33">
        <f t="shared" si="26"/>
        <v>-87.090518397588298</v>
      </c>
      <c r="T18" s="33">
        <f t="shared" si="26"/>
        <v>-174.1810367951766</v>
      </c>
      <c r="U18" s="33">
        <f t="shared" si="26"/>
        <v>-261.27155519276488</v>
      </c>
      <c r="V18" s="33">
        <f t="shared" si="26"/>
        <v>-348.36207359035319</v>
      </c>
      <c r="W18" s="33">
        <f t="shared" si="26"/>
        <v>-435.45259198794145</v>
      </c>
      <c r="X18" s="33">
        <f t="shared" si="26"/>
        <v>-522.54311038552976</v>
      </c>
      <c r="Y18" s="33">
        <f t="shared" ref="Y18" si="27">$H$18*100*($H$6-$H$5*Q10)</f>
        <v>-609.63362878311807</v>
      </c>
      <c r="Z18" s="33">
        <f t="shared" ref="Z18" si="28">$H$18*100*($H$6-$H$5*R10)</f>
        <v>-696.72414718070638</v>
      </c>
      <c r="AA18" s="33">
        <f t="shared" ref="AA18" si="29">$H$18*100*($H$6-$H$5*S10)</f>
        <v>-783.81466557829469</v>
      </c>
      <c r="AB18" s="33">
        <f t="shared" ref="AB18" si="30">$H$18*100*($H$6-$H$5*T10)</f>
        <v>-870.90518397588289</v>
      </c>
    </row>
    <row r="19" spans="1:28" ht="16.8">
      <c r="A19" s="26" t="str">
        <f t="shared" si="11"/>
        <v>L7</v>
      </c>
      <c r="B19" s="10">
        <f t="shared" si="12"/>
        <v>0.17942010382692272</v>
      </c>
      <c r="C19" s="9">
        <f t="shared" si="13"/>
        <v>143.53608306153816</v>
      </c>
      <c r="D19" s="9">
        <f>IF(A19=0,0,($D$7*($D$10-7)))</f>
        <v>8</v>
      </c>
      <c r="G19" s="36">
        <v>9</v>
      </c>
      <c r="H19" s="32">
        <f t="shared" si="8"/>
        <v>0.46970819589099289</v>
      </c>
      <c r="I19" s="3"/>
      <c r="J19" s="3"/>
      <c r="K19" s="3"/>
      <c r="L19" s="3"/>
      <c r="M19" s="3"/>
      <c r="N19" s="3"/>
      <c r="O19" s="3"/>
      <c r="P19" s="3"/>
      <c r="Q19" s="33">
        <f>H6*H19*100</f>
        <v>281.82491753459573</v>
      </c>
      <c r="R19" s="33">
        <f>H19*100*(H6-H5)</f>
        <v>140.91245876729786</v>
      </c>
      <c r="S19" s="33">
        <f t="shared" ref="S19:X19" si="31">$H$19*100*($H$6-$H$5*J10)</f>
        <v>0</v>
      </c>
      <c r="T19" s="33">
        <f t="shared" si="31"/>
        <v>-140.91245876729786</v>
      </c>
      <c r="U19" s="33">
        <f t="shared" si="31"/>
        <v>-281.82491753459573</v>
      </c>
      <c r="V19" s="33">
        <f t="shared" si="31"/>
        <v>-422.73737630189356</v>
      </c>
      <c r="W19" s="33">
        <f t="shared" si="31"/>
        <v>-563.64983506919145</v>
      </c>
      <c r="X19" s="33">
        <f t="shared" si="31"/>
        <v>-704.56229383648929</v>
      </c>
      <c r="Y19" s="33">
        <f t="shared" ref="Y19" si="32">$H$19*100*($H$6-$H$5*P10)</f>
        <v>-845.47475260378712</v>
      </c>
      <c r="Z19" s="33">
        <f t="shared" ref="Z19" si="33">$H$19*100*($H$6-$H$5*Q10)</f>
        <v>-986.38721137108496</v>
      </c>
      <c r="AA19" s="33">
        <f t="shared" ref="AA19" si="34">$H$19*100*($H$6-$H$5*R10)</f>
        <v>-1127.2996701383829</v>
      </c>
      <c r="AB19" s="33">
        <f t="shared" ref="AB19" si="35">$H$19*100*($H$6-$H$5*S10)</f>
        <v>-1268.2121289056806</v>
      </c>
    </row>
    <row r="20" spans="1:28" ht="16.8">
      <c r="A20" s="26" t="str">
        <f t="shared" si="11"/>
        <v>L8</v>
      </c>
      <c r="B20" s="10">
        <f t="shared" si="12"/>
        <v>0.29030172799196097</v>
      </c>
      <c r="C20" s="9">
        <f t="shared" si="13"/>
        <v>203.21120959437269</v>
      </c>
      <c r="D20" s="9">
        <f>IF(A20=0,0,($D$7*($D$10-8)))</f>
        <v>7</v>
      </c>
      <c r="G20" s="36">
        <v>10</v>
      </c>
      <c r="H20" s="32">
        <f t="shared" si="8"/>
        <v>0.75998786095162651</v>
      </c>
      <c r="I20" s="3"/>
      <c r="J20" s="3"/>
      <c r="K20" s="3"/>
      <c r="L20" s="3"/>
      <c r="M20" s="3"/>
      <c r="N20" s="3"/>
      <c r="O20" s="3"/>
      <c r="P20" s="3"/>
      <c r="Q20" s="3"/>
      <c r="R20" s="33">
        <f>H6*H20*100</f>
        <v>455.99271657097586</v>
      </c>
      <c r="S20" s="33">
        <f>H20*100*(H6-H5)</f>
        <v>227.99635828548799</v>
      </c>
      <c r="T20" s="33">
        <f>$H$20*100*($H$6-$H$5*J10)</f>
        <v>0</v>
      </c>
      <c r="U20" s="33">
        <f>$H$20*100*($H$6-$H$5*K10)</f>
        <v>-227.99635828548799</v>
      </c>
      <c r="V20" s="33">
        <f>$H$20*100*($H$6-$H$5*L10)</f>
        <v>-455.99271657097597</v>
      </c>
      <c r="W20" s="33">
        <f>$H$20*100*($H$6-$H$5*M10)</f>
        <v>-683.98907485646396</v>
      </c>
      <c r="X20" s="33">
        <f>$H$20*100*($H$6-$H$5*N10)</f>
        <v>-911.98543314195194</v>
      </c>
      <c r="Y20" s="33">
        <f t="shared" ref="Y20:AB20" si="36">$H$20*100*($H$6-$H$5*O10)</f>
        <v>-1139.9817914274399</v>
      </c>
      <c r="Z20" s="33">
        <f t="shared" si="36"/>
        <v>-1367.9781497129279</v>
      </c>
      <c r="AA20" s="33">
        <f t="shared" si="36"/>
        <v>-1595.9745079984159</v>
      </c>
      <c r="AB20" s="33">
        <f t="shared" si="36"/>
        <v>-1823.9708662839039</v>
      </c>
    </row>
    <row r="21" spans="1:28" ht="16.8">
      <c r="A21" s="26" t="str">
        <f t="shared" si="11"/>
        <v>L9</v>
      </c>
      <c r="B21" s="10">
        <f t="shared" si="12"/>
        <v>0.46970819589099289</v>
      </c>
      <c r="C21" s="9">
        <f t="shared" si="13"/>
        <v>281.82491753459573</v>
      </c>
      <c r="D21" s="9">
        <f>IF(A21=0,0,($D$7*($D$10-9)))</f>
        <v>6</v>
      </c>
      <c r="G21" s="36">
        <v>11</v>
      </c>
      <c r="H21" s="32">
        <f t="shared" si="8"/>
        <v>1.2296603590197317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4">
        <f>H6*H21*100</f>
        <v>737.79621541183906</v>
      </c>
      <c r="T21" s="34">
        <f>H21*100*(H6-H5)</f>
        <v>368.89810770591953</v>
      </c>
      <c r="U21" s="34">
        <f>$H$21*100*($H$6-$H$5*J10)</f>
        <v>0</v>
      </c>
      <c r="V21" s="34">
        <f>$H$21*100*($H$6-$H$5*K10)</f>
        <v>-368.89810770591953</v>
      </c>
      <c r="W21" s="34">
        <f>$H$21*100*($H$6-$H$5*L10)</f>
        <v>-737.79621541183906</v>
      </c>
      <c r="X21" s="34">
        <f>$H$21*100*($H$6-$H$5*M10)</f>
        <v>-1106.6943231177586</v>
      </c>
      <c r="Y21" s="34">
        <f t="shared" ref="Y21:AB21" si="37">$H$21*100*($H$6-$H$5*N10)</f>
        <v>-1475.5924308236781</v>
      </c>
      <c r="Z21" s="34">
        <f t="shared" si="37"/>
        <v>-1844.4905385295976</v>
      </c>
      <c r="AA21" s="34">
        <f t="shared" si="37"/>
        <v>-2213.3886462355172</v>
      </c>
      <c r="AB21" s="34">
        <f t="shared" si="37"/>
        <v>-2582.2867539414365</v>
      </c>
    </row>
    <row r="22" spans="1:28" ht="16.8">
      <c r="A22" s="26" t="str">
        <f t="shared" si="11"/>
        <v>L10</v>
      </c>
      <c r="B22" s="10">
        <f t="shared" si="12"/>
        <v>0.75998786095162651</v>
      </c>
      <c r="C22" s="9">
        <f t="shared" si="13"/>
        <v>379.99393047581327</v>
      </c>
      <c r="D22" s="9">
        <f>IF(A22=0,0,($D$7*($D$10-10)))</f>
        <v>5</v>
      </c>
      <c r="G22" s="36">
        <v>12</v>
      </c>
      <c r="H22" s="32">
        <f t="shared" si="8"/>
        <v>1.9895904608939261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4"/>
      <c r="T22" s="34">
        <f>H6*H22*100</f>
        <v>1193.7542765363555</v>
      </c>
      <c r="U22" s="34">
        <f>H22*100*(H6-H5)</f>
        <v>596.87713826817787</v>
      </c>
      <c r="V22" s="34">
        <f>$H$22*100*($H$6-$H$5*J10)</f>
        <v>0</v>
      </c>
      <c r="W22" s="34">
        <f>$H$22*100*($H$6-$H$5*K10)</f>
        <v>-596.87713826817787</v>
      </c>
      <c r="X22" s="34">
        <f>$H$22*100*($H$6-$H$5*L10)</f>
        <v>-1193.7542765363557</v>
      </c>
      <c r="Y22" s="34">
        <f t="shared" ref="Y22:AB22" si="38">$H$22*100*($H$6-$H$5*M10)</f>
        <v>-1790.6314148045335</v>
      </c>
      <c r="Z22" s="34">
        <f t="shared" si="38"/>
        <v>-2387.5085530727115</v>
      </c>
      <c r="AA22" s="34">
        <f t="shared" si="38"/>
        <v>-2984.385691340889</v>
      </c>
      <c r="AB22" s="34">
        <f t="shared" si="38"/>
        <v>-3581.262829609067</v>
      </c>
    </row>
    <row r="23" spans="1:28" ht="16.8">
      <c r="A23" s="26" t="str">
        <f t="shared" si="11"/>
        <v>L11</v>
      </c>
      <c r="B23" s="10">
        <f t="shared" si="12"/>
        <v>1.2296603590197317</v>
      </c>
      <c r="C23" s="9">
        <f t="shared" si="13"/>
        <v>491.86414360789269</v>
      </c>
      <c r="D23" s="9">
        <f>IF(A23=0,0,($D$7*($D$10-11)))</f>
        <v>4</v>
      </c>
      <c r="G23" s="36">
        <v>13</v>
      </c>
      <c r="H23" s="32">
        <f t="shared" si="8"/>
        <v>3.2191573657263728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4"/>
      <c r="T23" s="34"/>
      <c r="U23" s="34">
        <f>H6*H23*100</f>
        <v>1931.4944194358236</v>
      </c>
      <c r="V23" s="34">
        <f>H23*100*(H6-H5)</f>
        <v>965.7472097179118</v>
      </c>
      <c r="W23" s="34">
        <f>$H$23*100*($H$6-$H$5*J10)</f>
        <v>0</v>
      </c>
      <c r="X23" s="34">
        <f>$H$23*100*($H$6-$H$5*K10)</f>
        <v>-965.7472097179118</v>
      </c>
      <c r="Y23" s="34">
        <f t="shared" ref="Y23:AB23" si="39">$H$23*100*($H$6-$H$5*L10)</f>
        <v>-1931.4944194358236</v>
      </c>
      <c r="Z23" s="34">
        <f t="shared" si="39"/>
        <v>-2897.2416291537356</v>
      </c>
      <c r="AA23" s="34">
        <f t="shared" si="39"/>
        <v>-3862.9888388716472</v>
      </c>
      <c r="AB23" s="34">
        <f t="shared" si="39"/>
        <v>-4828.7360485895597</v>
      </c>
    </row>
    <row r="24" spans="1:28" ht="16.8">
      <c r="A24" s="26" t="str">
        <f t="shared" si="11"/>
        <v>L12</v>
      </c>
      <c r="B24" s="10">
        <f t="shared" si="12"/>
        <v>1.9895904608939261</v>
      </c>
      <c r="C24" s="9">
        <f t="shared" si="13"/>
        <v>596.87713826817776</v>
      </c>
      <c r="D24" s="9">
        <f>IF(A24=0,0,($D$7*($D$10-12)))</f>
        <v>3</v>
      </c>
      <c r="G24" s="36">
        <v>14</v>
      </c>
      <c r="H24" s="32">
        <f t="shared" si="8"/>
        <v>5.2085966177452718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4"/>
      <c r="T24" s="34"/>
      <c r="U24" s="34"/>
      <c r="V24" s="34">
        <f>H6*H24*100</f>
        <v>3125.157970647163</v>
      </c>
      <c r="W24" s="34">
        <f>H24*100*(H6-H5)</f>
        <v>1562.5789853235817</v>
      </c>
      <c r="X24" s="34">
        <f>$H$24*100*($H$6-$H$5*J10)</f>
        <v>0</v>
      </c>
      <c r="Y24" s="34">
        <f t="shared" ref="Y24:AB24" si="40">$H$24*100*($H$6-$H$5*K10)</f>
        <v>-1562.5789853235817</v>
      </c>
      <c r="Z24" s="34">
        <f t="shared" si="40"/>
        <v>-3125.1579706471634</v>
      </c>
      <c r="AA24" s="34">
        <f t="shared" si="40"/>
        <v>-4687.7369559707449</v>
      </c>
      <c r="AB24" s="34">
        <f t="shared" si="40"/>
        <v>-6250.3159412943269</v>
      </c>
    </row>
    <row r="25" spans="1:28" ht="16.8">
      <c r="A25" s="26" t="str">
        <f t="shared" si="11"/>
        <v>L13</v>
      </c>
      <c r="B25" s="10">
        <f t="shared" si="12"/>
        <v>3.2191573657263728</v>
      </c>
      <c r="C25" s="9">
        <f t="shared" si="13"/>
        <v>643.83147314527457</v>
      </c>
      <c r="D25" s="9">
        <f>IF(A25=0,0,($D$7*($D$10-13)))</f>
        <v>2</v>
      </c>
      <c r="G25" s="36">
        <v>15</v>
      </c>
      <c r="H25" s="32">
        <f t="shared" si="8"/>
        <v>8.4275093275118511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4"/>
      <c r="T25" s="34"/>
      <c r="U25" s="34"/>
      <c r="V25" s="34"/>
      <c r="W25" s="34">
        <f>H6*H25*100</f>
        <v>5056.5055965071115</v>
      </c>
      <c r="X25" s="34">
        <f>H25*100*(H6-H5)</f>
        <v>2528.2527982535553</v>
      </c>
      <c r="Y25" s="34">
        <f>$H$25*100*($H$6-$H$5*J10)</f>
        <v>0</v>
      </c>
      <c r="Z25" s="34">
        <f>$H$25*100*($H$6-$H$5*K10)</f>
        <v>-2528.2527982535553</v>
      </c>
      <c r="AA25" s="34">
        <f>$H$25*100*($H$6-$H$5*L10)</f>
        <v>-5056.5055965071106</v>
      </c>
      <c r="AB25" s="34">
        <f>$H$25*100*($H$6-$H$5*M10)</f>
        <v>-7584.7583947606663</v>
      </c>
    </row>
    <row r="26" spans="1:28" ht="16.8">
      <c r="A26" s="26" t="str">
        <f t="shared" si="11"/>
        <v>L14</v>
      </c>
      <c r="B26" s="10">
        <f t="shared" si="12"/>
        <v>5.2085966177452718</v>
      </c>
      <c r="C26" s="9">
        <f t="shared" si="13"/>
        <v>520.85966177452724</v>
      </c>
      <c r="D26" s="9">
        <f>IF(A26=0,0,($D$7*($D$10-14)))</f>
        <v>1</v>
      </c>
      <c r="G26" s="36">
        <v>16</v>
      </c>
      <c r="H26" s="32">
        <f t="shared" si="8"/>
        <v>13.635710091914175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4"/>
      <c r="T26" s="34"/>
      <c r="U26" s="34"/>
      <c r="V26" s="34"/>
      <c r="W26" s="34"/>
      <c r="X26" s="34">
        <f>H26*H6*100</f>
        <v>8181.4260551485049</v>
      </c>
      <c r="Y26" s="34">
        <f>$H$26*100*($H$6-$H$5)</f>
        <v>4090.7130275742525</v>
      </c>
      <c r="Z26" s="34">
        <f>$H$26*100*($H$6-$H$5*J10)</f>
        <v>0</v>
      </c>
      <c r="AA26" s="34">
        <f>$H$26*100*($H$6-$H$5*K10)</f>
        <v>-4090.7130275742525</v>
      </c>
      <c r="AB26" s="34">
        <f>$H$26*100*($H$6-$H$5*L10)</f>
        <v>-8181.4260551485049</v>
      </c>
    </row>
    <row r="27" spans="1:28" ht="16.8">
      <c r="A27" s="26" t="str">
        <f t="shared" si="11"/>
        <v>L15</v>
      </c>
      <c r="B27" s="10">
        <f t="shared" si="12"/>
        <v>8.4275093275118511</v>
      </c>
      <c r="C27" s="9">
        <f t="shared" si="13"/>
        <v>0</v>
      </c>
      <c r="D27" s="9">
        <f>IF(A27=0,0,($D$7*($D$10-15)))</f>
        <v>0</v>
      </c>
      <c r="G27" s="36">
        <v>17</v>
      </c>
      <c r="H27" s="32">
        <f t="shared" si="8"/>
        <v>22.062578928717137</v>
      </c>
      <c r="Y27" s="34">
        <f>$H$27*$H$6*100</f>
        <v>13237.547357230284</v>
      </c>
      <c r="Z27" s="34">
        <f>$H$27*100*($H$6-$H$5*I$10)</f>
        <v>6618.7736786151418</v>
      </c>
      <c r="AA27" s="34">
        <f t="shared" ref="AA27:AB27" si="41">$H$27*100*($H$6-$H$5*J$10)</f>
        <v>0</v>
      </c>
      <c r="AB27" s="34">
        <f t="shared" si="41"/>
        <v>-6618.7736786151418</v>
      </c>
    </row>
    <row r="28" spans="1:28" ht="16.8">
      <c r="A28" s="26">
        <f t="shared" si="11"/>
        <v>0</v>
      </c>
      <c r="B28" s="10">
        <f t="shared" si="12"/>
        <v>0</v>
      </c>
      <c r="C28" s="9">
        <f t="shared" si="13"/>
        <v>0</v>
      </c>
      <c r="D28" s="9">
        <f>IF(A28=0,0,($D$7*($D$10-16)))</f>
        <v>0</v>
      </c>
      <c r="G28" s="36">
        <v>18</v>
      </c>
      <c r="H28" s="32">
        <f t="shared" si="8"/>
        <v>35.697252706664329</v>
      </c>
      <c r="Z28" s="34">
        <f>$H$28*$H$6*100</f>
        <v>21418.351623998598</v>
      </c>
      <c r="AA28" s="34">
        <f>$H$28*100*($H$6-$H$5*I$10)</f>
        <v>10709.175811999299</v>
      </c>
      <c r="AB28" s="34">
        <f>$H$28*100*($H$6-$H$5*J$10)</f>
        <v>0</v>
      </c>
    </row>
    <row r="29" spans="1:28" ht="16.8">
      <c r="A29" s="26">
        <f t="shared" si="11"/>
        <v>0</v>
      </c>
      <c r="B29" s="10">
        <f t="shared" si="12"/>
        <v>0</v>
      </c>
      <c r="C29" s="9">
        <f t="shared" si="13"/>
        <v>0</v>
      </c>
      <c r="D29" s="9">
        <f>IF(A29=0,0,($D$7*($D$10-17)))</f>
        <v>0</v>
      </c>
      <c r="G29" s="36">
        <v>19</v>
      </c>
      <c r="H29" s="32">
        <f t="shared" si="8"/>
        <v>57.758154879382886</v>
      </c>
      <c r="AA29" s="34">
        <f>$H$29*$H$6*100</f>
        <v>34654.892927629735</v>
      </c>
      <c r="AB29" s="34">
        <f>$H$29*100*($H$6-$H$5*I$10)</f>
        <v>17327.446463814864</v>
      </c>
    </row>
    <row r="30" spans="1:28" ht="16.8">
      <c r="A30" s="26">
        <f t="shared" si="11"/>
        <v>0</v>
      </c>
      <c r="B30" s="10">
        <f t="shared" si="12"/>
        <v>0</v>
      </c>
      <c r="C30" s="9">
        <f t="shared" si="13"/>
        <v>0</v>
      </c>
      <c r="D30" s="9">
        <f>IF(A30=0,0,($D$7*($D$10-18)))</f>
        <v>0</v>
      </c>
      <c r="G30" s="36">
        <v>20</v>
      </c>
      <c r="H30" s="32">
        <f t="shared" si="8"/>
        <v>93.452694594841518</v>
      </c>
      <c r="AB30" s="34">
        <f>$H$30*$H$6*100</f>
        <v>56071.616756904907</v>
      </c>
    </row>
    <row r="31" spans="1:28" ht="16.8">
      <c r="A31" s="26">
        <f>IF(A30=0,0,IF(VALUE(MID(A30,2,2))&gt;=$D$10,0,"L"&amp;VALUE(MID(A30,2,2))+1))</f>
        <v>0</v>
      </c>
      <c r="B31" s="10">
        <f>IF(A31&lt;&gt;0,B30*$D$9,0)</f>
        <v>0</v>
      </c>
      <c r="C31" s="9">
        <f t="shared" si="13"/>
        <v>0</v>
      </c>
      <c r="D31" s="9">
        <f>IF(A31=0,0,($D$7*($D$10-19)))</f>
        <v>0</v>
      </c>
      <c r="G31" s="38" t="s">
        <v>49</v>
      </c>
      <c r="H31" s="44">
        <f>SUM(H11:H26)</f>
        <v>35.683784674299567</v>
      </c>
      <c r="I31" s="39">
        <f>SUMIF(I11:I30, "&lt;0")</f>
        <v>0</v>
      </c>
      <c r="J31" s="39">
        <f t="shared" ref="J31:AB31" si="42">SUMIF(J11:J30, "&lt;0")</f>
        <v>0</v>
      </c>
      <c r="K31" s="39">
        <f t="shared" si="42"/>
        <v>0</v>
      </c>
      <c r="L31" s="39">
        <f t="shared" si="42"/>
        <v>-3</v>
      </c>
      <c r="M31" s="39">
        <f t="shared" si="42"/>
        <v>-10.853999999999999</v>
      </c>
      <c r="N31" s="39">
        <f t="shared" si="42"/>
        <v>-26.561771999999998</v>
      </c>
      <c r="O31" s="39">
        <f t="shared" si="42"/>
        <v>-54.976947095999996</v>
      </c>
      <c r="P31" s="39">
        <f t="shared" si="42"/>
        <v>-103.952700401328</v>
      </c>
      <c r="Q31" s="39">
        <f t="shared" si="42"/>
        <v>-186.19546924934872</v>
      </c>
      <c r="R31" s="39">
        <f t="shared" si="42"/>
        <v>-322.26426924544626</v>
      </c>
      <c r="S31" s="39">
        <f t="shared" si="42"/>
        <v>-545.42358763913205</v>
      </c>
      <c r="T31" s="39">
        <f t="shared" si="42"/>
        <v>-909.49536480011579</v>
      </c>
      <c r="U31" s="39">
        <f t="shared" si="42"/>
        <v>-1501.5635002465874</v>
      </c>
      <c r="V31" s="39">
        <f t="shared" si="42"/>
        <v>-2462.529743398979</v>
      </c>
      <c r="W31" s="39">
        <f t="shared" si="42"/>
        <v>-4020.3731248195477</v>
      </c>
      <c r="X31" s="39">
        <f t="shared" si="42"/>
        <v>-6543.9637159580279</v>
      </c>
      <c r="Y31" s="39">
        <f t="shared" si="42"/>
        <v>-10630.133292420091</v>
      </c>
      <c r="Z31" s="39">
        <f t="shared" si="42"/>
        <v>-17244.555667135708</v>
      </c>
      <c r="AA31" s="39">
        <f t="shared" si="42"/>
        <v>-27949.691069425578</v>
      </c>
      <c r="AB31" s="39">
        <f t="shared" si="42"/>
        <v>-45273.600150330589</v>
      </c>
    </row>
    <row r="32" spans="1:28" ht="16.8">
      <c r="A32" s="26">
        <f t="shared" si="11"/>
        <v>0</v>
      </c>
      <c r="B32" s="10">
        <f t="shared" si="12"/>
        <v>0</v>
      </c>
      <c r="C32" s="9">
        <f t="shared" si="13"/>
        <v>0</v>
      </c>
      <c r="D32" s="9">
        <f t="shared" ref="D32:D34" si="43">IF(A32=0,0,($D$7*($D$10-20)))</f>
        <v>0</v>
      </c>
      <c r="I32" s="87">
        <f t="shared" ref="I32:AB32" si="44">SUM(I11:I30)</f>
        <v>6</v>
      </c>
      <c r="J32" s="87">
        <f t="shared" si="44"/>
        <v>12.707999999999998</v>
      </c>
      <c r="K32" s="87">
        <f t="shared" si="44"/>
        <v>20.561544000000001</v>
      </c>
      <c r="L32" s="87">
        <f t="shared" si="44"/>
        <v>30.268578192</v>
      </c>
      <c r="M32" s="87">
        <f t="shared" si="44"/>
        <v>42.974559514656015</v>
      </c>
      <c r="N32" s="87">
        <f t="shared" si="44"/>
        <v>60.532837294713431</v>
      </c>
      <c r="O32" s="87">
        <f t="shared" si="44"/>
        <v>85.942130742846345</v>
      </c>
      <c r="P32" s="87">
        <f t="shared" si="44"/>
        <v>124.05436754192537</v>
      </c>
      <c r="Q32" s="87">
        <f t="shared" si="44"/>
        <v>182.71996668283532</v>
      </c>
      <c r="R32" s="87">
        <f t="shared" si="44"/>
        <v>274.64090609282744</v>
      </c>
      <c r="S32" s="87">
        <f t="shared" si="44"/>
        <v>420.36898605819499</v>
      </c>
      <c r="T32" s="87">
        <f t="shared" si="44"/>
        <v>653.15701944215925</v>
      </c>
      <c r="U32" s="87">
        <f t="shared" si="44"/>
        <v>1026.8080574574142</v>
      </c>
      <c r="V32" s="87">
        <f t="shared" si="44"/>
        <v>1628.3754369660958</v>
      </c>
      <c r="W32" s="87">
        <f t="shared" si="44"/>
        <v>2598.7114570111453</v>
      </c>
      <c r="X32" s="87">
        <f t="shared" si="44"/>
        <v>4165.7151374440327</v>
      </c>
      <c r="Y32" s="87">
        <f t="shared" si="44"/>
        <v>6698.1270923844459</v>
      </c>
      <c r="Z32" s="87">
        <f t="shared" si="44"/>
        <v>10792.569635478032</v>
      </c>
      <c r="AA32" s="87">
        <f t="shared" si="44"/>
        <v>17414.377670203456</v>
      </c>
      <c r="AB32" s="87">
        <f t="shared" si="44"/>
        <v>28125.463070389182</v>
      </c>
    </row>
    <row r="33" spans="1:28" ht="16.8">
      <c r="A33" s="26">
        <f t="shared" si="11"/>
        <v>0</v>
      </c>
      <c r="B33" s="10">
        <f t="shared" si="12"/>
        <v>0</v>
      </c>
      <c r="C33" s="9">
        <f t="shared" si="13"/>
        <v>0</v>
      </c>
      <c r="D33" s="9">
        <f t="shared" si="43"/>
        <v>0</v>
      </c>
      <c r="G33" s="1"/>
      <c r="I33" s="41">
        <f>SUM($H11:$H11)</f>
        <v>0.01</v>
      </c>
      <c r="J33" s="41">
        <f>SUM($H11:$H12)</f>
        <v>2.6180000000000002E-2</v>
      </c>
      <c r="K33" s="41">
        <f>SUM($H11:$H13)</f>
        <v>5.2359240000000001E-2</v>
      </c>
      <c r="L33" s="41">
        <f>SUM($H11:$H14)</f>
        <v>9.4717250320000002E-2</v>
      </c>
      <c r="M33" s="41">
        <f>SUM($H11:$H15)</f>
        <v>0.16325251101776</v>
      </c>
      <c r="N33" s="41">
        <f>SUM($H11:$H16)</f>
        <v>0.27414256282673571</v>
      </c>
      <c r="O33" s="41">
        <f>SUM($H11:$H17)</f>
        <v>0.45356266665365841</v>
      </c>
      <c r="P33" s="41">
        <f>SUM($H11:$H18)</f>
        <v>0.74386439464561938</v>
      </c>
      <c r="Q33" s="41">
        <f>SUM($H11:$H19)</f>
        <v>1.2135725905366122</v>
      </c>
      <c r="R33" s="41">
        <f>SUM($H11:$H20)</f>
        <v>1.9735604514882388</v>
      </c>
      <c r="S33" s="41">
        <f>SUM($H11:$H21)</f>
        <v>3.2032208105079705</v>
      </c>
      <c r="T33" s="41">
        <f>SUM($H11:$H22)</f>
        <v>5.1928112714018964</v>
      </c>
      <c r="U33" s="41">
        <f>SUM($H11:$H23)</f>
        <v>8.4119686371282683</v>
      </c>
      <c r="V33" s="41">
        <f>SUM($H11:$H24)</f>
        <v>13.62056525487354</v>
      </c>
      <c r="W33" s="41">
        <f>SUM($H11:$H25)</f>
        <v>22.048074582385389</v>
      </c>
      <c r="X33" s="41">
        <f>SUM($H11:$H26)</f>
        <v>35.683784674299567</v>
      </c>
      <c r="Y33" s="41">
        <f>SUM($H11:$H27)</f>
        <v>57.746363603016704</v>
      </c>
      <c r="Z33" s="41">
        <f>SUM($H11:$H28)</f>
        <v>93.443616309681033</v>
      </c>
      <c r="AA33" s="41">
        <f>SUM($H11:$H29)</f>
        <v>151.20177118906392</v>
      </c>
      <c r="AB33" s="41">
        <f>SUM($H11:$H30)</f>
        <v>244.65446578390544</v>
      </c>
    </row>
    <row r="34" spans="1:28" ht="17.399999999999999" thickBot="1">
      <c r="A34" s="26">
        <f t="shared" si="11"/>
        <v>0</v>
      </c>
      <c r="B34" s="10">
        <f t="shared" si="12"/>
        <v>0</v>
      </c>
      <c r="C34" s="9">
        <f t="shared" si="13"/>
        <v>0</v>
      </c>
      <c r="D34" s="9">
        <f t="shared" si="43"/>
        <v>0</v>
      </c>
    </row>
    <row r="35" spans="1:28" ht="18" thickTop="1" thickBot="1">
      <c r="A35" s="86" t="s">
        <v>12</v>
      </c>
      <c r="B35" s="27">
        <f>SUM(B13:B34)</f>
        <v>22.048074582385389</v>
      </c>
      <c r="C35" s="27">
        <f>SUM(C13:C34)</f>
        <v>3543.3777641400302</v>
      </c>
      <c r="D35" s="28">
        <f>MAX(D13:D34)</f>
        <v>14</v>
      </c>
    </row>
    <row r="36" spans="1:28" ht="13.8" thickTop="1"/>
    <row r="38" spans="1:28" ht="13.8">
      <c r="E38" s="11"/>
      <c r="F38" s="68"/>
      <c r="G38" s="14" t="s">
        <v>15</v>
      </c>
      <c r="H38" s="14"/>
      <c r="I38" s="15"/>
      <c r="J38" s="16">
        <v>5</v>
      </c>
      <c r="K38" s="16">
        <v>5</v>
      </c>
      <c r="L38" s="16">
        <v>5</v>
      </c>
      <c r="M38" s="16">
        <v>5</v>
      </c>
      <c r="N38" s="16">
        <v>5</v>
      </c>
      <c r="O38" s="16">
        <v>5</v>
      </c>
      <c r="P38" s="16">
        <v>5</v>
      </c>
      <c r="Q38" s="16">
        <v>5</v>
      </c>
      <c r="R38" s="16">
        <v>5</v>
      </c>
      <c r="S38" s="16">
        <v>5</v>
      </c>
      <c r="T38" s="16">
        <v>5</v>
      </c>
      <c r="U38" s="16">
        <v>5</v>
      </c>
      <c r="V38" s="16">
        <v>5</v>
      </c>
      <c r="W38" s="16">
        <v>5</v>
      </c>
      <c r="X38" s="16">
        <v>5</v>
      </c>
      <c r="Y38" s="16">
        <v>5</v>
      </c>
      <c r="Z38" s="16">
        <v>5</v>
      </c>
      <c r="AA38" s="16">
        <v>5</v>
      </c>
      <c r="AB38" s="16">
        <v>5</v>
      </c>
    </row>
    <row r="39" spans="1:28" ht="18">
      <c r="E39" s="11"/>
      <c r="F39" s="68"/>
      <c r="G39" s="66" t="s">
        <v>77</v>
      </c>
      <c r="H39" s="66"/>
      <c r="I39" s="67">
        <v>0</v>
      </c>
      <c r="J39" s="67">
        <f>J38</f>
        <v>5</v>
      </c>
      <c r="K39" s="67">
        <f>SUM($J$38:K38)</f>
        <v>10</v>
      </c>
      <c r="L39" s="67">
        <f>SUM($J$38:L38)</f>
        <v>15</v>
      </c>
      <c r="M39" s="67">
        <f>SUM($J$38:M38)</f>
        <v>20</v>
      </c>
      <c r="N39" s="67">
        <f>SUM($J$38:N38)</f>
        <v>25</v>
      </c>
      <c r="O39" s="67">
        <f>SUM($J$38:O38)</f>
        <v>30</v>
      </c>
      <c r="P39" s="67">
        <f>SUM($J$38:P38)</f>
        <v>35</v>
      </c>
      <c r="Q39" s="67">
        <f>SUM($J$38:Q38)</f>
        <v>40</v>
      </c>
      <c r="R39" s="67">
        <f>SUM($J$38:R38)</f>
        <v>45</v>
      </c>
      <c r="S39" s="67">
        <f>SUM($J$38:S38)</f>
        <v>50</v>
      </c>
      <c r="T39" s="67">
        <f>SUM($J$38:T38)</f>
        <v>55</v>
      </c>
      <c r="U39" s="67">
        <f>SUM($J$38:U38)</f>
        <v>60</v>
      </c>
      <c r="V39" s="67">
        <f>SUM($J$38:V38)</f>
        <v>65</v>
      </c>
      <c r="W39" s="67">
        <f>SUM($J$38:W38)</f>
        <v>70</v>
      </c>
      <c r="X39" s="67">
        <f>SUM($J$38:X38)</f>
        <v>75</v>
      </c>
      <c r="Y39" s="67">
        <f>SUM($J$38:Y38)</f>
        <v>80</v>
      </c>
      <c r="Z39" s="67">
        <f>SUM($J$38:Z38)</f>
        <v>85</v>
      </c>
      <c r="AA39" s="67">
        <f>SUM($J$38:AA38)</f>
        <v>90</v>
      </c>
      <c r="AB39" s="67">
        <f>SUM($J$38:AB38)</f>
        <v>95</v>
      </c>
    </row>
    <row r="40" spans="1:28" ht="13.8">
      <c r="D40" s="69"/>
      <c r="E40" s="69"/>
      <c r="F40" s="70"/>
      <c r="G40" s="17" t="s">
        <v>16</v>
      </c>
      <c r="H40" s="17"/>
      <c r="I40" s="59">
        <v>30</v>
      </c>
      <c r="J40" s="59">
        <v>30</v>
      </c>
      <c r="K40" s="59">
        <v>30</v>
      </c>
      <c r="L40" s="59">
        <v>30</v>
      </c>
      <c r="M40" s="59">
        <v>30</v>
      </c>
      <c r="N40" s="59">
        <v>30</v>
      </c>
      <c r="O40" s="59">
        <v>30</v>
      </c>
      <c r="P40" s="59">
        <v>30</v>
      </c>
      <c r="Q40" s="59">
        <v>30</v>
      </c>
      <c r="R40" s="59">
        <v>30</v>
      </c>
      <c r="S40" s="71">
        <v>5</v>
      </c>
      <c r="T40" s="71">
        <v>5</v>
      </c>
      <c r="U40" s="71">
        <v>5</v>
      </c>
      <c r="V40" s="63">
        <v>10</v>
      </c>
      <c r="W40" s="63">
        <v>10</v>
      </c>
      <c r="X40" s="63">
        <v>10</v>
      </c>
      <c r="Y40" s="63">
        <v>10</v>
      </c>
      <c r="Z40" s="63">
        <v>10</v>
      </c>
      <c r="AA40" s="63">
        <v>10</v>
      </c>
      <c r="AB40" s="63">
        <v>10</v>
      </c>
    </row>
    <row r="41" spans="1:28" ht="18.600000000000001">
      <c r="D41" s="13" t="s">
        <v>53</v>
      </c>
      <c r="E41" s="51">
        <v>1</v>
      </c>
      <c r="F41" s="51">
        <v>1.3819999999999999</v>
      </c>
      <c r="G41" s="51">
        <v>1.6180000000000001</v>
      </c>
      <c r="H41" s="83" t="s">
        <v>87</v>
      </c>
      <c r="I41" s="92">
        <v>1</v>
      </c>
      <c r="J41" s="92">
        <v>2</v>
      </c>
      <c r="K41" s="92">
        <v>3</v>
      </c>
      <c r="L41" s="92">
        <v>4</v>
      </c>
      <c r="M41" s="92">
        <v>5</v>
      </c>
      <c r="N41" s="92">
        <v>6</v>
      </c>
      <c r="O41" s="92">
        <v>7</v>
      </c>
      <c r="P41" s="92">
        <v>8</v>
      </c>
      <c r="Q41" s="92">
        <v>9</v>
      </c>
      <c r="R41" s="92">
        <v>10</v>
      </c>
      <c r="S41" s="92">
        <v>11</v>
      </c>
      <c r="T41" s="92">
        <v>12</v>
      </c>
      <c r="U41" s="92">
        <v>13</v>
      </c>
      <c r="V41" s="92">
        <v>14</v>
      </c>
      <c r="W41" s="92">
        <v>15</v>
      </c>
      <c r="X41" s="92">
        <v>16</v>
      </c>
      <c r="Y41" s="92">
        <v>17</v>
      </c>
      <c r="Z41" s="92">
        <v>18</v>
      </c>
      <c r="AA41" s="92">
        <v>19</v>
      </c>
      <c r="AB41" s="92">
        <v>20</v>
      </c>
    </row>
    <row r="42" spans="1:28" ht="13.8">
      <c r="D42" s="59" t="s">
        <v>34</v>
      </c>
      <c r="E42" s="18">
        <v>0.01</v>
      </c>
      <c r="F42" s="18">
        <f>E42</f>
        <v>0.01</v>
      </c>
      <c r="G42" s="18">
        <f>E42</f>
        <v>0.01</v>
      </c>
      <c r="H42" s="60">
        <v>0.01</v>
      </c>
      <c r="I42" s="73">
        <f>H42*I40*100</f>
        <v>30</v>
      </c>
      <c r="J42" s="74">
        <f>$H$42*($I$39-J$39)*100</f>
        <v>-5</v>
      </c>
      <c r="K42" s="74">
        <f t="shared" ref="K42:AB42" si="45">$H$42*($I$39-K$39)*100</f>
        <v>-10</v>
      </c>
      <c r="L42" s="74">
        <f t="shared" si="45"/>
        <v>-15</v>
      </c>
      <c r="M42" s="74">
        <f t="shared" si="45"/>
        <v>-20</v>
      </c>
      <c r="N42" s="74">
        <f t="shared" si="45"/>
        <v>-25</v>
      </c>
      <c r="O42" s="74">
        <f t="shared" si="45"/>
        <v>-30</v>
      </c>
      <c r="P42" s="74">
        <f t="shared" si="45"/>
        <v>-35</v>
      </c>
      <c r="Q42" s="74">
        <f t="shared" si="45"/>
        <v>-40</v>
      </c>
      <c r="R42" s="74">
        <f t="shared" si="45"/>
        <v>-45</v>
      </c>
      <c r="S42" s="91">
        <f t="shared" si="45"/>
        <v>-50</v>
      </c>
      <c r="T42" s="91">
        <f t="shared" si="45"/>
        <v>-55.000000000000007</v>
      </c>
      <c r="U42" s="91">
        <f t="shared" si="45"/>
        <v>-60</v>
      </c>
      <c r="V42" s="91">
        <f t="shared" si="45"/>
        <v>-65</v>
      </c>
      <c r="W42" s="91">
        <f t="shared" si="45"/>
        <v>-70</v>
      </c>
      <c r="X42" s="91">
        <f t="shared" si="45"/>
        <v>-75</v>
      </c>
      <c r="Y42" s="91">
        <f t="shared" si="45"/>
        <v>-80</v>
      </c>
      <c r="Z42" s="91">
        <f t="shared" si="45"/>
        <v>-85</v>
      </c>
      <c r="AA42" s="91">
        <f t="shared" si="45"/>
        <v>-90</v>
      </c>
      <c r="AB42" s="91">
        <f t="shared" si="45"/>
        <v>-95</v>
      </c>
    </row>
    <row r="43" spans="1:28" ht="13.8">
      <c r="D43" s="59" t="s">
        <v>35</v>
      </c>
      <c r="E43" s="19">
        <f t="shared" ref="E43:E61" si="46">E42*$E$41</f>
        <v>0.01</v>
      </c>
      <c r="F43" s="19">
        <f t="shared" ref="F43:F61" si="47">F42*$F$41</f>
        <v>1.3819999999999999E-2</v>
      </c>
      <c r="G43" s="19">
        <f t="shared" ref="G43:G61" si="48">G42*$G$41</f>
        <v>1.618E-2</v>
      </c>
      <c r="H43" s="61">
        <v>0.01</v>
      </c>
      <c r="I43" s="75"/>
      <c r="J43" s="76">
        <f>H43*J40*100</f>
        <v>30</v>
      </c>
      <c r="K43" s="74">
        <f>$H$43*($J$39-K$39)*100</f>
        <v>-5</v>
      </c>
      <c r="L43" s="74">
        <f t="shared" ref="L43:AB43" si="49">$H$43*($J$39-L$39)*100</f>
        <v>-10</v>
      </c>
      <c r="M43" s="74">
        <f t="shared" si="49"/>
        <v>-15</v>
      </c>
      <c r="N43" s="74">
        <f t="shared" si="49"/>
        <v>-20</v>
      </c>
      <c r="O43" s="74">
        <f t="shared" si="49"/>
        <v>-25</v>
      </c>
      <c r="P43" s="74">
        <f t="shared" si="49"/>
        <v>-30</v>
      </c>
      <c r="Q43" s="74">
        <f t="shared" si="49"/>
        <v>-35</v>
      </c>
      <c r="R43" s="74">
        <f t="shared" si="49"/>
        <v>-40</v>
      </c>
      <c r="S43" s="91">
        <f t="shared" si="49"/>
        <v>-45</v>
      </c>
      <c r="T43" s="91">
        <f t="shared" si="49"/>
        <v>-50</v>
      </c>
      <c r="U43" s="91">
        <f t="shared" si="49"/>
        <v>-55.000000000000007</v>
      </c>
      <c r="V43" s="91">
        <f t="shared" si="49"/>
        <v>-60</v>
      </c>
      <c r="W43" s="91">
        <f t="shared" si="49"/>
        <v>-65</v>
      </c>
      <c r="X43" s="91">
        <f t="shared" si="49"/>
        <v>-70</v>
      </c>
      <c r="Y43" s="91">
        <f t="shared" si="49"/>
        <v>-75</v>
      </c>
      <c r="Z43" s="91">
        <f t="shared" si="49"/>
        <v>-80</v>
      </c>
      <c r="AA43" s="91">
        <f t="shared" si="49"/>
        <v>-85</v>
      </c>
      <c r="AB43" s="91">
        <f t="shared" si="49"/>
        <v>-90</v>
      </c>
    </row>
    <row r="44" spans="1:28" ht="13.8">
      <c r="D44" s="59" t="s">
        <v>36</v>
      </c>
      <c r="E44" s="19">
        <f t="shared" si="46"/>
        <v>0.01</v>
      </c>
      <c r="F44" s="19">
        <f t="shared" si="47"/>
        <v>1.9099239999999996E-2</v>
      </c>
      <c r="G44" s="19">
        <f t="shared" si="48"/>
        <v>2.6179240000000003E-2</v>
      </c>
      <c r="H44" s="61">
        <v>0.01</v>
      </c>
      <c r="I44" s="75"/>
      <c r="J44" s="76"/>
      <c r="K44" s="76">
        <f>H44*K40*100</f>
        <v>30</v>
      </c>
      <c r="L44" s="74">
        <f>$H$44*($K$39-L$39)*100</f>
        <v>-5</v>
      </c>
      <c r="M44" s="74">
        <f t="shared" ref="M44:AB44" si="50">$H$44*($K$39-M$39)*100</f>
        <v>-10</v>
      </c>
      <c r="N44" s="74">
        <f t="shared" si="50"/>
        <v>-15</v>
      </c>
      <c r="O44" s="74">
        <f t="shared" si="50"/>
        <v>-20</v>
      </c>
      <c r="P44" s="74">
        <f t="shared" si="50"/>
        <v>-25</v>
      </c>
      <c r="Q44" s="74">
        <f t="shared" si="50"/>
        <v>-30</v>
      </c>
      <c r="R44" s="74">
        <f t="shared" si="50"/>
        <v>-35</v>
      </c>
      <c r="S44" s="91">
        <f t="shared" si="50"/>
        <v>-40</v>
      </c>
      <c r="T44" s="91">
        <f t="shared" si="50"/>
        <v>-45</v>
      </c>
      <c r="U44" s="91">
        <f t="shared" si="50"/>
        <v>-50</v>
      </c>
      <c r="V44" s="91">
        <f t="shared" si="50"/>
        <v>-55.000000000000007</v>
      </c>
      <c r="W44" s="91">
        <f t="shared" si="50"/>
        <v>-60</v>
      </c>
      <c r="X44" s="91">
        <f t="shared" si="50"/>
        <v>-65</v>
      </c>
      <c r="Y44" s="91">
        <f t="shared" si="50"/>
        <v>-70</v>
      </c>
      <c r="Z44" s="91">
        <f t="shared" si="50"/>
        <v>-75</v>
      </c>
      <c r="AA44" s="91">
        <f t="shared" si="50"/>
        <v>-80</v>
      </c>
      <c r="AB44" s="91">
        <f t="shared" si="50"/>
        <v>-85</v>
      </c>
    </row>
    <row r="45" spans="1:28" ht="13.8">
      <c r="D45" s="59" t="s">
        <v>37</v>
      </c>
      <c r="E45" s="19">
        <f t="shared" si="46"/>
        <v>0.01</v>
      </c>
      <c r="F45" s="19">
        <f t="shared" si="47"/>
        <v>2.6395149679999994E-2</v>
      </c>
      <c r="G45" s="19">
        <f t="shared" si="48"/>
        <v>4.2358010320000007E-2</v>
      </c>
      <c r="H45" s="61">
        <v>0.01</v>
      </c>
      <c r="I45" s="75"/>
      <c r="J45" s="76"/>
      <c r="K45" s="76"/>
      <c r="L45" s="76">
        <f>H45*L40*100</f>
        <v>30</v>
      </c>
      <c r="M45" s="74">
        <f>$H$45*($L$39-M$39)*100</f>
        <v>-5</v>
      </c>
      <c r="N45" s="74">
        <f t="shared" ref="N45:AB45" si="51">$H$45*($L$39-N$39)*100</f>
        <v>-10</v>
      </c>
      <c r="O45" s="74">
        <f t="shared" si="51"/>
        <v>-15</v>
      </c>
      <c r="P45" s="74">
        <f t="shared" si="51"/>
        <v>-20</v>
      </c>
      <c r="Q45" s="74">
        <f t="shared" si="51"/>
        <v>-25</v>
      </c>
      <c r="R45" s="74">
        <f t="shared" si="51"/>
        <v>-30</v>
      </c>
      <c r="S45" s="74">
        <f t="shared" si="51"/>
        <v>-35</v>
      </c>
      <c r="T45" s="74">
        <f t="shared" si="51"/>
        <v>-40</v>
      </c>
      <c r="U45" s="74">
        <f t="shared" si="51"/>
        <v>-45</v>
      </c>
      <c r="V45" s="74">
        <f t="shared" si="51"/>
        <v>-50</v>
      </c>
      <c r="W45" s="74">
        <f t="shared" si="51"/>
        <v>-55.000000000000007</v>
      </c>
      <c r="X45" s="74">
        <f t="shared" si="51"/>
        <v>-60</v>
      </c>
      <c r="Y45" s="74">
        <f t="shared" si="51"/>
        <v>-65</v>
      </c>
      <c r="Z45" s="74">
        <f t="shared" si="51"/>
        <v>-70</v>
      </c>
      <c r="AA45" s="74">
        <f t="shared" si="51"/>
        <v>-75</v>
      </c>
      <c r="AB45" s="74">
        <f t="shared" si="51"/>
        <v>-80</v>
      </c>
    </row>
    <row r="46" spans="1:28" ht="13.8">
      <c r="D46" s="59" t="s">
        <v>38</v>
      </c>
      <c r="E46" s="19">
        <f t="shared" si="46"/>
        <v>0.01</v>
      </c>
      <c r="F46" s="19">
        <f t="shared" si="47"/>
        <v>3.647809685775999E-2</v>
      </c>
      <c r="G46" s="19">
        <f t="shared" si="48"/>
        <v>6.8535260697760017E-2</v>
      </c>
      <c r="H46" s="61">
        <v>0.01</v>
      </c>
      <c r="I46" s="75"/>
      <c r="J46" s="76"/>
      <c r="K46" s="76"/>
      <c r="L46" s="76"/>
      <c r="M46" s="76">
        <f>H46*M40*100</f>
        <v>30</v>
      </c>
      <c r="N46" s="74">
        <f>$H$46*($M$39-N$39)*100</f>
        <v>-5</v>
      </c>
      <c r="O46" s="74">
        <f t="shared" ref="O46:AB46" si="52">$H$46*($M$39-O$39)*100</f>
        <v>-10</v>
      </c>
      <c r="P46" s="74">
        <f t="shared" si="52"/>
        <v>-15</v>
      </c>
      <c r="Q46" s="74">
        <f t="shared" si="52"/>
        <v>-20</v>
      </c>
      <c r="R46" s="74">
        <f t="shared" si="52"/>
        <v>-25</v>
      </c>
      <c r="S46" s="74">
        <f t="shared" si="52"/>
        <v>-30</v>
      </c>
      <c r="T46" s="74">
        <f t="shared" si="52"/>
        <v>-35</v>
      </c>
      <c r="U46" s="74">
        <f t="shared" si="52"/>
        <v>-40</v>
      </c>
      <c r="V46" s="74">
        <f t="shared" si="52"/>
        <v>-45</v>
      </c>
      <c r="W46" s="74">
        <f t="shared" si="52"/>
        <v>-50</v>
      </c>
      <c r="X46" s="74">
        <f t="shared" si="52"/>
        <v>-55.000000000000007</v>
      </c>
      <c r="Y46" s="74">
        <f t="shared" si="52"/>
        <v>-60</v>
      </c>
      <c r="Z46" s="74">
        <f t="shared" si="52"/>
        <v>-65</v>
      </c>
      <c r="AA46" s="74">
        <f t="shared" si="52"/>
        <v>-70</v>
      </c>
      <c r="AB46" s="74">
        <f t="shared" si="52"/>
        <v>-75</v>
      </c>
    </row>
    <row r="47" spans="1:28" ht="13.8">
      <c r="D47" s="59" t="s">
        <v>39</v>
      </c>
      <c r="E47" s="19">
        <f t="shared" si="46"/>
        <v>0.01</v>
      </c>
      <c r="F47" s="19">
        <f t="shared" si="47"/>
        <v>5.0412729857424302E-2</v>
      </c>
      <c r="G47" s="19">
        <f t="shared" si="48"/>
        <v>0.11089005180897571</v>
      </c>
      <c r="H47" s="61">
        <v>0.01</v>
      </c>
      <c r="I47" s="75"/>
      <c r="J47" s="76"/>
      <c r="K47" s="76"/>
      <c r="L47" s="76"/>
      <c r="M47" s="76"/>
      <c r="N47" s="76">
        <f>H47*N40*100</f>
        <v>30</v>
      </c>
      <c r="O47" s="74">
        <f>$H$47*($N$39-O$39)*100</f>
        <v>-5</v>
      </c>
      <c r="P47" s="74">
        <f t="shared" ref="P47:AB47" si="53">$H$47*($N$39-P$39)*100</f>
        <v>-10</v>
      </c>
      <c r="Q47" s="74">
        <f t="shared" si="53"/>
        <v>-15</v>
      </c>
      <c r="R47" s="74">
        <f t="shared" si="53"/>
        <v>-20</v>
      </c>
      <c r="S47" s="74">
        <f t="shared" si="53"/>
        <v>-25</v>
      </c>
      <c r="T47" s="74">
        <f t="shared" si="53"/>
        <v>-30</v>
      </c>
      <c r="U47" s="74">
        <f t="shared" si="53"/>
        <v>-35</v>
      </c>
      <c r="V47" s="74">
        <f t="shared" si="53"/>
        <v>-40</v>
      </c>
      <c r="W47" s="74">
        <f t="shared" si="53"/>
        <v>-45</v>
      </c>
      <c r="X47" s="74">
        <f t="shared" si="53"/>
        <v>-50</v>
      </c>
      <c r="Y47" s="74">
        <f t="shared" si="53"/>
        <v>-55.000000000000007</v>
      </c>
      <c r="Z47" s="74">
        <f t="shared" si="53"/>
        <v>-60</v>
      </c>
      <c r="AA47" s="74">
        <f t="shared" si="53"/>
        <v>-65</v>
      </c>
      <c r="AB47" s="74">
        <f t="shared" si="53"/>
        <v>-70</v>
      </c>
    </row>
    <row r="48" spans="1:28" ht="13.8">
      <c r="D48" s="59" t="s">
        <v>40</v>
      </c>
      <c r="E48" s="19">
        <f t="shared" si="46"/>
        <v>0.01</v>
      </c>
      <c r="F48" s="19">
        <f t="shared" si="47"/>
        <v>6.9670392662960379E-2</v>
      </c>
      <c r="G48" s="19">
        <f t="shared" si="48"/>
        <v>0.17942010382692272</v>
      </c>
      <c r="H48" s="61">
        <v>0.01</v>
      </c>
      <c r="I48" s="75"/>
      <c r="J48" s="76"/>
      <c r="K48" s="76"/>
      <c r="L48" s="76"/>
      <c r="M48" s="76"/>
      <c r="N48" s="76"/>
      <c r="O48" s="76">
        <f>H48*O40*100</f>
        <v>30</v>
      </c>
      <c r="P48" s="74">
        <f>$H$48*($O$39-P$39)*100</f>
        <v>-5</v>
      </c>
      <c r="Q48" s="74">
        <f t="shared" ref="Q48:AB48" si="54">$H$48*($O$39-Q$39)*100</f>
        <v>-10</v>
      </c>
      <c r="R48" s="74">
        <f t="shared" si="54"/>
        <v>-15</v>
      </c>
      <c r="S48" s="74">
        <f t="shared" si="54"/>
        <v>-20</v>
      </c>
      <c r="T48" s="74">
        <f t="shared" si="54"/>
        <v>-25</v>
      </c>
      <c r="U48" s="74">
        <f t="shared" si="54"/>
        <v>-30</v>
      </c>
      <c r="V48" s="74">
        <f t="shared" si="54"/>
        <v>-35</v>
      </c>
      <c r="W48" s="74">
        <f t="shared" si="54"/>
        <v>-40</v>
      </c>
      <c r="X48" s="74">
        <f t="shared" si="54"/>
        <v>-45</v>
      </c>
      <c r="Y48" s="74">
        <f t="shared" si="54"/>
        <v>-50</v>
      </c>
      <c r="Z48" s="74">
        <f t="shared" si="54"/>
        <v>-55.000000000000007</v>
      </c>
      <c r="AA48" s="74">
        <f t="shared" si="54"/>
        <v>-60</v>
      </c>
      <c r="AB48" s="74">
        <f t="shared" si="54"/>
        <v>-65</v>
      </c>
    </row>
    <row r="49" spans="4:28" ht="13.8">
      <c r="D49" s="59" t="s">
        <v>41</v>
      </c>
      <c r="E49" s="19">
        <f t="shared" si="46"/>
        <v>0.01</v>
      </c>
      <c r="F49" s="19">
        <f t="shared" si="47"/>
        <v>9.6284482660211237E-2</v>
      </c>
      <c r="G49" s="19">
        <f t="shared" si="48"/>
        <v>0.29030172799196097</v>
      </c>
      <c r="H49" s="61">
        <v>0.01</v>
      </c>
      <c r="I49" s="75"/>
      <c r="J49" s="76"/>
      <c r="K49" s="76"/>
      <c r="L49" s="76"/>
      <c r="M49" s="76"/>
      <c r="N49" s="76"/>
      <c r="O49" s="76"/>
      <c r="P49" s="76">
        <f>H49*P40*100</f>
        <v>30</v>
      </c>
      <c r="Q49" s="74">
        <f>$H$49*($P$39-Q$39)*100</f>
        <v>-5</v>
      </c>
      <c r="R49" s="74">
        <f t="shared" ref="R49:AB49" si="55">$H$49*($P$39-R$39)*100</f>
        <v>-10</v>
      </c>
      <c r="S49" s="74">
        <f t="shared" si="55"/>
        <v>-15</v>
      </c>
      <c r="T49" s="74">
        <f t="shared" si="55"/>
        <v>-20</v>
      </c>
      <c r="U49" s="74">
        <f t="shared" si="55"/>
        <v>-25</v>
      </c>
      <c r="V49" s="74">
        <f t="shared" si="55"/>
        <v>-30</v>
      </c>
      <c r="W49" s="74">
        <f t="shared" si="55"/>
        <v>-35</v>
      </c>
      <c r="X49" s="74">
        <f t="shared" si="55"/>
        <v>-40</v>
      </c>
      <c r="Y49" s="74">
        <f t="shared" si="55"/>
        <v>-45</v>
      </c>
      <c r="Z49" s="74">
        <f t="shared" si="55"/>
        <v>-50</v>
      </c>
      <c r="AA49" s="74">
        <f t="shared" si="55"/>
        <v>-55.000000000000007</v>
      </c>
      <c r="AB49" s="74">
        <f t="shared" si="55"/>
        <v>-60</v>
      </c>
    </row>
    <row r="50" spans="4:28" ht="13.8">
      <c r="D50" s="59" t="s">
        <v>42</v>
      </c>
      <c r="E50" s="19">
        <f t="shared" si="46"/>
        <v>0.01</v>
      </c>
      <c r="F50" s="19">
        <f t="shared" si="47"/>
        <v>0.13306515503641192</v>
      </c>
      <c r="G50" s="19">
        <f t="shared" si="48"/>
        <v>0.46970819589099289</v>
      </c>
      <c r="H50" s="61">
        <v>0.01</v>
      </c>
      <c r="I50" s="75"/>
      <c r="J50" s="76"/>
      <c r="K50" s="76"/>
      <c r="L50" s="76"/>
      <c r="M50" s="76"/>
      <c r="N50" s="76"/>
      <c r="O50" s="76"/>
      <c r="P50" s="76"/>
      <c r="Q50" s="76">
        <f>H50*Q40*100</f>
        <v>30</v>
      </c>
      <c r="R50" s="74">
        <f>$H$50*($Q$39-R$39)*100</f>
        <v>-5</v>
      </c>
      <c r="S50" s="74">
        <f t="shared" ref="S50:AB50" si="56">$H$50*($Q$39-S$39)*100</f>
        <v>-10</v>
      </c>
      <c r="T50" s="74">
        <f t="shared" si="56"/>
        <v>-15</v>
      </c>
      <c r="U50" s="74">
        <f t="shared" si="56"/>
        <v>-20</v>
      </c>
      <c r="V50" s="74">
        <f t="shared" si="56"/>
        <v>-25</v>
      </c>
      <c r="W50" s="74">
        <f t="shared" si="56"/>
        <v>-30</v>
      </c>
      <c r="X50" s="74">
        <f t="shared" si="56"/>
        <v>-35</v>
      </c>
      <c r="Y50" s="74">
        <f t="shared" si="56"/>
        <v>-40</v>
      </c>
      <c r="Z50" s="74">
        <f t="shared" si="56"/>
        <v>-45</v>
      </c>
      <c r="AA50" s="74">
        <f t="shared" si="56"/>
        <v>-50</v>
      </c>
      <c r="AB50" s="74">
        <f t="shared" si="56"/>
        <v>-55.000000000000007</v>
      </c>
    </row>
    <row r="51" spans="4:28" ht="13.8">
      <c r="D51" s="59" t="s">
        <v>43</v>
      </c>
      <c r="E51" s="19">
        <f t="shared" si="46"/>
        <v>0.01</v>
      </c>
      <c r="F51" s="19">
        <f t="shared" si="47"/>
        <v>0.18389604426032125</v>
      </c>
      <c r="G51" s="19">
        <f t="shared" si="48"/>
        <v>0.75998786095162651</v>
      </c>
      <c r="H51" s="61">
        <v>0.01</v>
      </c>
      <c r="I51" s="77"/>
      <c r="J51" s="78"/>
      <c r="K51" s="78"/>
      <c r="L51" s="78"/>
      <c r="M51" s="78"/>
      <c r="N51" s="78"/>
      <c r="O51" s="78"/>
      <c r="P51" s="78"/>
      <c r="Q51" s="78"/>
      <c r="R51" s="79">
        <f>H51*R40*100</f>
        <v>30</v>
      </c>
      <c r="S51" s="74">
        <f>$H$51*($R$39-S$39)*100</f>
        <v>-5</v>
      </c>
      <c r="T51" s="74">
        <f t="shared" ref="T51:AB51" si="57">$H$51*($R$39-T$39)*100</f>
        <v>-10</v>
      </c>
      <c r="U51" s="74">
        <f t="shared" si="57"/>
        <v>-15</v>
      </c>
      <c r="V51" s="74">
        <f t="shared" si="57"/>
        <v>-20</v>
      </c>
      <c r="W51" s="74">
        <f t="shared" si="57"/>
        <v>-25</v>
      </c>
      <c r="X51" s="74">
        <f t="shared" si="57"/>
        <v>-30</v>
      </c>
      <c r="Y51" s="74">
        <f t="shared" si="57"/>
        <v>-35</v>
      </c>
      <c r="Z51" s="74">
        <f t="shared" si="57"/>
        <v>-40</v>
      </c>
      <c r="AA51" s="74">
        <f t="shared" si="57"/>
        <v>-45</v>
      </c>
      <c r="AB51" s="74">
        <f t="shared" si="57"/>
        <v>-50</v>
      </c>
    </row>
    <row r="52" spans="4:28" ht="13.8">
      <c r="D52" s="62" t="s">
        <v>44</v>
      </c>
      <c r="E52" s="19">
        <f t="shared" si="46"/>
        <v>0.01</v>
      </c>
      <c r="F52" s="19">
        <f t="shared" si="47"/>
        <v>0.25414433316776397</v>
      </c>
      <c r="G52" s="19">
        <f t="shared" si="48"/>
        <v>1.2296603590197317</v>
      </c>
      <c r="H52" s="64">
        <v>0.46970819589099289</v>
      </c>
      <c r="I52" s="58"/>
      <c r="J52" s="52"/>
      <c r="K52" s="52"/>
      <c r="L52" s="52"/>
      <c r="M52" s="52"/>
      <c r="N52" s="52"/>
      <c r="O52" s="52"/>
      <c r="P52" s="52"/>
      <c r="Q52" s="52"/>
      <c r="R52" s="53"/>
      <c r="S52" s="90">
        <f>H52*S40*100</f>
        <v>234.85409794549645</v>
      </c>
      <c r="T52" s="74">
        <f>$H$52*(T40+$S$39-T$39)*100</f>
        <v>0</v>
      </c>
      <c r="U52" s="74">
        <f t="shared" ref="U52:AB52" si="58">$H$52*(U40+$S$39-U$39)*100</f>
        <v>-234.85409794549645</v>
      </c>
      <c r="V52" s="74">
        <f t="shared" si="58"/>
        <v>-234.85409794549645</v>
      </c>
      <c r="W52" s="74">
        <f t="shared" si="58"/>
        <v>-469.7081958909929</v>
      </c>
      <c r="X52" s="74">
        <f t="shared" si="58"/>
        <v>-704.56229383648929</v>
      </c>
      <c r="Y52" s="74">
        <f t="shared" si="58"/>
        <v>-939.41639178198579</v>
      </c>
      <c r="Z52" s="74">
        <f t="shared" si="58"/>
        <v>-1174.2704897274821</v>
      </c>
      <c r="AA52" s="74">
        <f t="shared" si="58"/>
        <v>-1409.1245876729786</v>
      </c>
      <c r="AB52" s="74">
        <f t="shared" si="58"/>
        <v>-1643.9786856184749</v>
      </c>
    </row>
    <row r="53" spans="4:28" ht="13.8">
      <c r="D53" s="63" t="s">
        <v>45</v>
      </c>
      <c r="E53" s="19">
        <f t="shared" si="46"/>
        <v>0.01</v>
      </c>
      <c r="F53" s="19">
        <f t="shared" si="47"/>
        <v>0.3512274684378498</v>
      </c>
      <c r="G53" s="19">
        <f t="shared" si="48"/>
        <v>1.9895904608939261</v>
      </c>
      <c r="H53" s="65">
        <v>0.75998786095162651</v>
      </c>
      <c r="I53" s="54"/>
      <c r="J53" s="20"/>
      <c r="K53" s="20"/>
      <c r="L53" s="20"/>
      <c r="M53" s="20"/>
      <c r="N53" s="20"/>
      <c r="O53" s="20"/>
      <c r="P53" s="20"/>
      <c r="Q53" s="20"/>
      <c r="R53" s="55"/>
      <c r="S53" s="72"/>
      <c r="T53" s="80">
        <f>H53*T40*100</f>
        <v>379.99393047581327</v>
      </c>
      <c r="U53" s="74">
        <f>$H$53*(U40+$T$39-U$39)*100</f>
        <v>0</v>
      </c>
      <c r="V53" s="74">
        <f t="shared" ref="V53:AB53" si="59">$H$53*(V40+$T$39-V$39)*100</f>
        <v>0</v>
      </c>
      <c r="W53" s="74">
        <f t="shared" si="59"/>
        <v>-379.99393047581327</v>
      </c>
      <c r="X53" s="74">
        <f t="shared" si="59"/>
        <v>-759.98786095162654</v>
      </c>
      <c r="Y53" s="74">
        <f t="shared" si="59"/>
        <v>-1139.9817914274397</v>
      </c>
      <c r="Z53" s="74">
        <f t="shared" si="59"/>
        <v>-1519.9757219032531</v>
      </c>
      <c r="AA53" s="74">
        <f t="shared" si="59"/>
        <v>-1899.9696523790665</v>
      </c>
      <c r="AB53" s="74">
        <f t="shared" si="59"/>
        <v>-2279.9635828548794</v>
      </c>
    </row>
    <row r="54" spans="4:28" ht="13.8">
      <c r="D54" s="63" t="s">
        <v>46</v>
      </c>
      <c r="E54" s="19">
        <f t="shared" si="46"/>
        <v>0.01</v>
      </c>
      <c r="F54" s="19">
        <f t="shared" si="47"/>
        <v>0.48539636138110837</v>
      </c>
      <c r="G54" s="19">
        <f t="shared" si="48"/>
        <v>3.2191573657263728</v>
      </c>
      <c r="H54" s="65">
        <v>1.2296603590197317</v>
      </c>
      <c r="I54" s="54"/>
      <c r="J54" s="20"/>
      <c r="K54" s="20"/>
      <c r="L54" s="20"/>
      <c r="M54" s="20"/>
      <c r="N54" s="20"/>
      <c r="O54" s="20"/>
      <c r="P54" s="20"/>
      <c r="Q54" s="20"/>
      <c r="R54" s="55"/>
      <c r="S54" s="72"/>
      <c r="T54" s="20"/>
      <c r="U54" s="80">
        <f>H54*U40*100</f>
        <v>614.83017950986584</v>
      </c>
      <c r="V54" s="74">
        <f>$H$54*(V40+$U$39-V$39)*100</f>
        <v>614.83017950986584</v>
      </c>
      <c r="W54" s="74">
        <f>$H$54*(W40+$U$39-W$39)*100</f>
        <v>0</v>
      </c>
      <c r="X54" s="74">
        <f t="shared" ref="X54:AB54" si="60">$H$54*(X40+$U$39-X$39)*100</f>
        <v>-614.83017950986584</v>
      </c>
      <c r="Y54" s="74">
        <f t="shared" si="60"/>
        <v>-1229.6603590197317</v>
      </c>
      <c r="Z54" s="74">
        <f t="shared" si="60"/>
        <v>-1844.4905385295974</v>
      </c>
      <c r="AA54" s="74">
        <f t="shared" si="60"/>
        <v>-2459.3207180394634</v>
      </c>
      <c r="AB54" s="74">
        <f t="shared" si="60"/>
        <v>-3074.1508975493293</v>
      </c>
    </row>
    <row r="55" spans="4:28" ht="13.8">
      <c r="D55" s="63" t="s">
        <v>47</v>
      </c>
      <c r="E55" s="19">
        <f t="shared" si="46"/>
        <v>0.01</v>
      </c>
      <c r="F55" s="19">
        <f t="shared" si="47"/>
        <v>0.6708177714286917</v>
      </c>
      <c r="G55" s="19">
        <f t="shared" si="48"/>
        <v>5.2085966177452718</v>
      </c>
      <c r="H55" s="65">
        <v>1.9895904608939261</v>
      </c>
      <c r="I55" s="20"/>
      <c r="J55" s="20"/>
      <c r="K55" s="20"/>
      <c r="L55" s="20"/>
      <c r="M55" s="20"/>
      <c r="N55" s="20"/>
      <c r="O55" s="20"/>
      <c r="P55" s="20"/>
      <c r="Q55" s="20"/>
      <c r="R55" s="55"/>
      <c r="S55" s="72"/>
      <c r="T55" s="20"/>
      <c r="U55" s="20"/>
      <c r="V55" s="80">
        <f>H55*V40*100</f>
        <v>1989.5904608939261</v>
      </c>
      <c r="W55" s="74">
        <f>$H$55*(W40+$V$39-W$39)*100</f>
        <v>994.79523044696305</v>
      </c>
      <c r="X55" s="74">
        <f t="shared" ref="X55:AB55" si="61">$H$55*(X40+$V$39-X$39)*100</f>
        <v>0</v>
      </c>
      <c r="Y55" s="74">
        <f t="shared" si="61"/>
        <v>-994.79523044696305</v>
      </c>
      <c r="Z55" s="74">
        <f t="shared" si="61"/>
        <v>-1989.5904608939261</v>
      </c>
      <c r="AA55" s="74">
        <f t="shared" si="61"/>
        <v>-2984.385691340889</v>
      </c>
      <c r="AB55" s="74">
        <f t="shared" si="61"/>
        <v>-3979.1809217878522</v>
      </c>
    </row>
    <row r="56" spans="4:28" ht="13.8">
      <c r="D56" s="63" t="s">
        <v>48</v>
      </c>
      <c r="E56" s="19">
        <f t="shared" si="46"/>
        <v>0.01</v>
      </c>
      <c r="F56" s="19">
        <f t="shared" si="47"/>
        <v>0.92707016011445187</v>
      </c>
      <c r="G56" s="19">
        <f t="shared" si="48"/>
        <v>8.4275093275118511</v>
      </c>
      <c r="H56" s="65">
        <v>3.2191573657263728</v>
      </c>
      <c r="I56" s="20"/>
      <c r="J56" s="20"/>
      <c r="K56" s="20"/>
      <c r="L56" s="20"/>
      <c r="M56" s="20"/>
      <c r="N56" s="20"/>
      <c r="O56" s="20"/>
      <c r="P56" s="20"/>
      <c r="Q56" s="20"/>
      <c r="R56" s="55"/>
      <c r="S56" s="72"/>
      <c r="T56" s="20"/>
      <c r="U56" s="20"/>
      <c r="V56" s="20"/>
      <c r="W56" s="81">
        <f>$H56*W$40*100</f>
        <v>3219.157365726373</v>
      </c>
      <c r="X56" s="74">
        <f>$H$56*(X40+$W$39-X$39)*100</f>
        <v>1609.5786828631865</v>
      </c>
      <c r="Y56" s="74">
        <f t="shared" ref="Y56:AB56" si="62">$H$56*(Y40+$W$39-Y$39)*100</f>
        <v>0</v>
      </c>
      <c r="Z56" s="74">
        <f t="shared" si="62"/>
        <v>-1609.5786828631865</v>
      </c>
      <c r="AA56" s="74">
        <f t="shared" si="62"/>
        <v>-3219.157365726373</v>
      </c>
      <c r="AB56" s="74">
        <f t="shared" si="62"/>
        <v>-4828.7360485895588</v>
      </c>
    </row>
    <row r="57" spans="4:28" ht="13.8">
      <c r="D57" s="63" t="s">
        <v>82</v>
      </c>
      <c r="E57" s="19">
        <f t="shared" si="46"/>
        <v>0.01</v>
      </c>
      <c r="F57" s="19">
        <f t="shared" si="47"/>
        <v>1.2812109612781724</v>
      </c>
      <c r="G57" s="19">
        <f t="shared" si="48"/>
        <v>13.635710091914175</v>
      </c>
      <c r="H57" s="65">
        <v>5.2085966177452718</v>
      </c>
      <c r="I57" s="20"/>
      <c r="J57" s="20"/>
      <c r="K57" s="20"/>
      <c r="L57" s="20"/>
      <c r="M57" s="20"/>
      <c r="N57" s="20"/>
      <c r="O57" s="20"/>
      <c r="P57" s="20"/>
      <c r="Q57" s="20"/>
      <c r="R57" s="55"/>
      <c r="S57" s="72"/>
      <c r="T57" s="20"/>
      <c r="U57" s="20"/>
      <c r="V57" s="20"/>
      <c r="W57" s="20"/>
      <c r="X57" s="81">
        <f>$H57*X$40*100</f>
        <v>5208.5966177452719</v>
      </c>
      <c r="Y57" s="74">
        <f>$H$57*(Y40+$X$39-Y$39)*100</f>
        <v>2604.298308872636</v>
      </c>
      <c r="Z57" s="74">
        <f t="shared" ref="Z57:AB57" si="63">$H$57*(Z40+$X$39-Z$39)*100</f>
        <v>0</v>
      </c>
      <c r="AA57" s="74">
        <f t="shared" si="63"/>
        <v>-2604.298308872636</v>
      </c>
      <c r="AB57" s="74">
        <f t="shared" si="63"/>
        <v>-5208.5966177452719</v>
      </c>
    </row>
    <row r="58" spans="4:28" ht="13.8">
      <c r="D58" s="63" t="s">
        <v>83</v>
      </c>
      <c r="E58" s="19">
        <f t="shared" si="46"/>
        <v>0.01</v>
      </c>
      <c r="F58" s="19">
        <f t="shared" si="47"/>
        <v>1.770633548486434</v>
      </c>
      <c r="G58" s="19">
        <f t="shared" si="48"/>
        <v>22.062578928717137</v>
      </c>
      <c r="H58" s="65">
        <v>8.4275093275118511</v>
      </c>
      <c r="I58" s="20"/>
      <c r="J58" s="20"/>
      <c r="K58" s="20"/>
      <c r="L58" s="20"/>
      <c r="M58" s="20"/>
      <c r="N58" s="20"/>
      <c r="O58" s="20"/>
      <c r="P58" s="20"/>
      <c r="Q58" s="20"/>
      <c r="R58" s="55"/>
      <c r="S58" s="72"/>
      <c r="T58" s="20"/>
      <c r="U58" s="20"/>
      <c r="V58" s="20"/>
      <c r="W58" s="20"/>
      <c r="X58" s="20"/>
      <c r="Y58" s="81">
        <f>$H58*Y$40*100</f>
        <v>8427.5093275118506</v>
      </c>
      <c r="Z58" s="74">
        <f>$H$58*(Z40+$Y$39-Z$39)*100</f>
        <v>4213.7546637559253</v>
      </c>
      <c r="AA58" s="74">
        <f>$H$58*(AA40+$Y$39-AA$39)*100</f>
        <v>0</v>
      </c>
      <c r="AB58" s="74">
        <f>$H$58*(AB40+$Y$39-AB$39)*100</f>
        <v>-4213.7546637559253</v>
      </c>
    </row>
    <row r="59" spans="4:28" ht="13.8">
      <c r="D59" s="63" t="s">
        <v>84</v>
      </c>
      <c r="E59" s="19">
        <f t="shared" si="46"/>
        <v>0.01</v>
      </c>
      <c r="F59" s="19">
        <f t="shared" si="47"/>
        <v>2.4470155640082516</v>
      </c>
      <c r="G59" s="19">
        <f t="shared" si="48"/>
        <v>35.697252706664329</v>
      </c>
      <c r="H59" s="65">
        <v>13.635710091914175</v>
      </c>
      <c r="I59" s="20"/>
      <c r="J59" s="20"/>
      <c r="K59" s="20"/>
      <c r="L59" s="20"/>
      <c r="M59" s="20"/>
      <c r="N59" s="20"/>
      <c r="O59" s="20"/>
      <c r="P59" s="20"/>
      <c r="Q59" s="20"/>
      <c r="R59" s="55"/>
      <c r="S59" s="72"/>
      <c r="T59" s="20"/>
      <c r="U59" s="20"/>
      <c r="V59" s="20"/>
      <c r="W59" s="20"/>
      <c r="X59" s="20"/>
      <c r="Y59" s="20"/>
      <c r="Z59" s="81">
        <f>$H59*Z$40*100</f>
        <v>13635.710091914174</v>
      </c>
      <c r="AA59" s="74">
        <f>$H$59*(AA40 + ($Z$39-AA$39))*100</f>
        <v>6817.855045957087</v>
      </c>
      <c r="AB59" s="74">
        <f>$H$59*(AB40 + ($Z$39-AB$39))*100</f>
        <v>0</v>
      </c>
    </row>
    <row r="60" spans="4:28" ht="13.8">
      <c r="D60" s="63" t="s">
        <v>85</v>
      </c>
      <c r="E60" s="19">
        <f t="shared" si="46"/>
        <v>0.01</v>
      </c>
      <c r="F60" s="19">
        <f t="shared" si="47"/>
        <v>3.3817755094594033</v>
      </c>
      <c r="G60" s="19">
        <f t="shared" si="48"/>
        <v>57.758154879382886</v>
      </c>
      <c r="H60" s="65">
        <v>22.062578928717137</v>
      </c>
      <c r="I60" s="20"/>
      <c r="J60" s="20"/>
      <c r="K60" s="20"/>
      <c r="L60" s="20"/>
      <c r="M60" s="20"/>
      <c r="N60" s="20"/>
      <c r="O60" s="20"/>
      <c r="P60" s="20"/>
      <c r="Q60" s="20"/>
      <c r="R60" s="55"/>
      <c r="S60" s="72"/>
      <c r="T60" s="20"/>
      <c r="U60" s="20"/>
      <c r="V60" s="20"/>
      <c r="W60" s="20"/>
      <c r="X60" s="20"/>
      <c r="Y60" s="20"/>
      <c r="Z60" s="20"/>
      <c r="AA60" s="81">
        <f>$H60*AA$40*100</f>
        <v>22062.578928717136</v>
      </c>
      <c r="AB60" s="74">
        <f>$H$60*(AB40 + ($AA$39-AB$39))*100</f>
        <v>11031.289464358568</v>
      </c>
    </row>
    <row r="61" spans="4:28" ht="13.8">
      <c r="D61" s="63" t="s">
        <v>86</v>
      </c>
      <c r="E61" s="19">
        <f t="shared" si="46"/>
        <v>0.01</v>
      </c>
      <c r="F61" s="19">
        <f t="shared" si="47"/>
        <v>4.6736137540728953</v>
      </c>
      <c r="G61" s="19">
        <f t="shared" si="48"/>
        <v>93.452694594841518</v>
      </c>
      <c r="H61" s="65">
        <v>35.697252706664329</v>
      </c>
      <c r="I61" s="20"/>
      <c r="J61" s="20"/>
      <c r="K61" s="20"/>
      <c r="L61" s="20"/>
      <c r="M61" s="20"/>
      <c r="N61" s="20"/>
      <c r="O61" s="20"/>
      <c r="P61" s="20"/>
      <c r="Q61" s="20"/>
      <c r="R61" s="56"/>
      <c r="S61" s="72"/>
      <c r="T61" s="20"/>
      <c r="U61" s="20"/>
      <c r="V61" s="20"/>
      <c r="W61" s="20"/>
      <c r="X61" s="20"/>
      <c r="Y61" s="20"/>
      <c r="Z61" s="20"/>
      <c r="AA61" s="20"/>
      <c r="AB61" s="81">
        <f>$H61*AB$40*100</f>
        <v>35697.252706664331</v>
      </c>
    </row>
    <row r="62" spans="4:28" ht="13.8">
      <c r="D62" s="21"/>
      <c r="E62" s="21"/>
      <c r="F62" s="21"/>
      <c r="G62" s="21"/>
      <c r="H62" s="21"/>
      <c r="I62" s="89">
        <f>SUMIF(I42:I61, "&lt;0")</f>
        <v>0</v>
      </c>
      <c r="J62" s="89">
        <f t="shared" ref="J62:AB62" si="64">SUMIF(J42:J61, "&lt;0")</f>
        <v>-5</v>
      </c>
      <c r="K62" s="89">
        <f t="shared" si="64"/>
        <v>-15</v>
      </c>
      <c r="L62" s="89">
        <f t="shared" si="64"/>
        <v>-30</v>
      </c>
      <c r="M62" s="89">
        <f t="shared" si="64"/>
        <v>-50</v>
      </c>
      <c r="N62" s="89">
        <f t="shared" si="64"/>
        <v>-75</v>
      </c>
      <c r="O62" s="89">
        <f t="shared" si="64"/>
        <v>-105</v>
      </c>
      <c r="P62" s="89">
        <f t="shared" si="64"/>
        <v>-140</v>
      </c>
      <c r="Q62" s="89">
        <f t="shared" si="64"/>
        <v>-180</v>
      </c>
      <c r="R62" s="89">
        <f t="shared" si="64"/>
        <v>-225</v>
      </c>
      <c r="S62" s="89">
        <f t="shared" si="64"/>
        <v>-275</v>
      </c>
      <c r="T62" s="89">
        <f t="shared" si="64"/>
        <v>-325</v>
      </c>
      <c r="U62" s="89">
        <f t="shared" si="64"/>
        <v>-609.85409794549651</v>
      </c>
      <c r="V62" s="89">
        <f t="shared" si="64"/>
        <v>-659.85409794549651</v>
      </c>
      <c r="W62" s="89">
        <f t="shared" si="64"/>
        <v>-1324.7021263668062</v>
      </c>
      <c r="X62" s="89">
        <f t="shared" si="64"/>
        <v>-2604.3803342979818</v>
      </c>
      <c r="Y62" s="89">
        <f t="shared" si="64"/>
        <v>-4878.8537726761197</v>
      </c>
      <c r="Z62" s="89">
        <f t="shared" si="64"/>
        <v>-8762.9058939174465</v>
      </c>
      <c r="AA62" s="89">
        <f t="shared" si="64"/>
        <v>-15251.256324031407</v>
      </c>
      <c r="AB62" s="89">
        <f t="shared" si="64"/>
        <v>-25953.361417901291</v>
      </c>
    </row>
    <row r="63" spans="4:28" ht="13.8">
      <c r="D63" s="21"/>
      <c r="E63" s="21"/>
      <c r="F63" s="21"/>
      <c r="G63" s="21"/>
      <c r="H63" s="57">
        <f>SUM(H42:H61)</f>
        <v>92.799751915035415</v>
      </c>
      <c r="I63" s="88">
        <f>SUM(I42:I61)</f>
        <v>30</v>
      </c>
      <c r="J63" s="88">
        <f t="shared" ref="J63:AB63" si="65">SUM(J42:J61)</f>
        <v>25</v>
      </c>
      <c r="K63" s="88">
        <f t="shared" si="65"/>
        <v>15</v>
      </c>
      <c r="L63" s="88">
        <f t="shared" si="65"/>
        <v>0</v>
      </c>
      <c r="M63" s="88">
        <f t="shared" si="65"/>
        <v>-20</v>
      </c>
      <c r="N63" s="88">
        <f t="shared" si="65"/>
        <v>-45</v>
      </c>
      <c r="O63" s="88">
        <f t="shared" si="65"/>
        <v>-75</v>
      </c>
      <c r="P63" s="88">
        <f t="shared" si="65"/>
        <v>-110</v>
      </c>
      <c r="Q63" s="88">
        <f t="shared" si="65"/>
        <v>-150</v>
      </c>
      <c r="R63" s="88">
        <f t="shared" si="65"/>
        <v>-195</v>
      </c>
      <c r="S63" s="88">
        <f t="shared" si="65"/>
        <v>-40.145902054503551</v>
      </c>
      <c r="T63" s="88">
        <f t="shared" si="65"/>
        <v>54.993930475813272</v>
      </c>
      <c r="U63" s="88">
        <f t="shared" si="65"/>
        <v>4.9760815643693377</v>
      </c>
      <c r="V63" s="88">
        <f t="shared" si="65"/>
        <v>1944.5665424582953</v>
      </c>
      <c r="W63" s="88">
        <f t="shared" si="65"/>
        <v>2889.25046980653</v>
      </c>
      <c r="X63" s="88">
        <f t="shared" si="65"/>
        <v>4213.7949663104764</v>
      </c>
      <c r="Y63" s="88">
        <f t="shared" si="65"/>
        <v>6152.953863708367</v>
      </c>
      <c r="Z63" s="88">
        <f t="shared" si="65"/>
        <v>9086.5588617526519</v>
      </c>
      <c r="AA63" s="88">
        <f t="shared" si="65"/>
        <v>13629.177650642816</v>
      </c>
      <c r="AB63" s="88">
        <f t="shared" si="65"/>
        <v>20775.180753121607</v>
      </c>
    </row>
    <row r="66" spans="5:25"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</row>
    <row r="67" spans="5:25"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</row>
    <row r="68" spans="5:25"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</row>
    <row r="69" spans="5:25"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</row>
    <row r="70" spans="5:25"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</row>
    <row r="71" spans="5:25"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</row>
    <row r="72" spans="5:25"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</row>
    <row r="73" spans="5:25"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</row>
    <row r="74" spans="5:25"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</row>
    <row r="75" spans="5:25"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</row>
    <row r="76" spans="5:25"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</row>
    <row r="77" spans="5:25"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</row>
    <row r="78" spans="5:25"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</row>
    <row r="79" spans="5:25"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</row>
    <row r="80" spans="5:25"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</row>
    <row r="81" spans="5:25"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</row>
    <row r="82" spans="5:25"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</row>
    <row r="83" spans="5:25"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</row>
    <row r="84" spans="5:25"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</row>
    <row r="85" spans="5:25"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</row>
    <row r="86" spans="5:25"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</row>
    <row r="87" spans="5:25"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</row>
    <row r="88" spans="5:25"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</row>
    <row r="89" spans="5:25"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</row>
    <row r="90" spans="5:25"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</row>
    <row r="91" spans="5:25"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</row>
    <row r="92" spans="5:25"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</row>
    <row r="93" spans="5:25"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</row>
    <row r="94" spans="5:25"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</row>
    <row r="95" spans="5:25"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</row>
    <row r="96" spans="5:25"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</row>
    <row r="97" spans="5:25"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</row>
    <row r="98" spans="5:25"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</row>
    <row r="99" spans="5:25"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</row>
  </sheetData>
  <protectedRanges>
    <protectedRange sqref="D2:D10" name="DATA_2"/>
  </protectedRanges>
  <mergeCells count="7">
    <mergeCell ref="A1:D1"/>
    <mergeCell ref="J3:K3"/>
    <mergeCell ref="L3:M3"/>
    <mergeCell ref="N3:P3"/>
    <mergeCell ref="J2:K2"/>
    <mergeCell ref="L2:M2"/>
    <mergeCell ref="N2:P2"/>
  </mergeCells>
  <phoneticPr fontId="8"/>
  <conditionalFormatting sqref="I10">
    <cfRule type="expression" dxfId="39" priority="73">
      <formula>$I$10=$D$10</formula>
    </cfRule>
  </conditionalFormatting>
  <conditionalFormatting sqref="J10">
    <cfRule type="expression" dxfId="38" priority="74">
      <formula>$J$10=$D$10</formula>
    </cfRule>
  </conditionalFormatting>
  <conditionalFormatting sqref="K10">
    <cfRule type="expression" dxfId="37" priority="75">
      <formula>$K$10=$D$10</formula>
    </cfRule>
  </conditionalFormatting>
  <conditionalFormatting sqref="L10">
    <cfRule type="expression" dxfId="36" priority="76">
      <formula>$L$10=$D$10</formula>
    </cfRule>
  </conditionalFormatting>
  <conditionalFormatting sqref="M10">
    <cfRule type="expression" dxfId="35" priority="77">
      <formula>$M$10=$D$10</formula>
    </cfRule>
  </conditionalFormatting>
  <conditionalFormatting sqref="N10">
    <cfRule type="expression" dxfId="34" priority="78">
      <formula>$N$10=$D$10</formula>
    </cfRule>
  </conditionalFormatting>
  <conditionalFormatting sqref="O10">
    <cfRule type="expression" dxfId="33" priority="79">
      <formula>$O$10=$D$10</formula>
    </cfRule>
  </conditionalFormatting>
  <conditionalFormatting sqref="P10">
    <cfRule type="expression" dxfId="32" priority="80">
      <formula>$P$10=$D$10</formula>
    </cfRule>
  </conditionalFormatting>
  <conditionalFormatting sqref="Q10">
    <cfRule type="expression" dxfId="31" priority="81">
      <formula>$Q$10=$D$10</formula>
    </cfRule>
  </conditionalFormatting>
  <conditionalFormatting sqref="R10">
    <cfRule type="expression" dxfId="30" priority="82">
      <formula>$R$10=$D$10</formula>
    </cfRule>
  </conditionalFormatting>
  <conditionalFormatting sqref="S10">
    <cfRule type="expression" dxfId="29" priority="83">
      <formula>$S$10=$D$10</formula>
    </cfRule>
  </conditionalFormatting>
  <conditionalFormatting sqref="T10">
    <cfRule type="expression" dxfId="28" priority="84">
      <formula>$T$10=$D$10</formula>
    </cfRule>
  </conditionalFormatting>
  <conditionalFormatting sqref="U10">
    <cfRule type="expression" dxfId="27" priority="85">
      <formula>$U$10=$D$10</formula>
    </cfRule>
  </conditionalFormatting>
  <conditionalFormatting sqref="V10">
    <cfRule type="expression" dxfId="26" priority="86">
      <formula>$V$10=$D$10</formula>
    </cfRule>
  </conditionalFormatting>
  <conditionalFormatting sqref="W10">
    <cfRule type="expression" dxfId="25" priority="87">
      <formula>$W$10=$D$10</formula>
    </cfRule>
  </conditionalFormatting>
  <conditionalFormatting sqref="X10">
    <cfRule type="expression" dxfId="24" priority="88">
      <formula>$X$10=$D$10</formula>
    </cfRule>
  </conditionalFormatting>
  <conditionalFormatting sqref="Y10">
    <cfRule type="expression" dxfId="23" priority="24">
      <formula>$Y$10=$D$10</formula>
    </cfRule>
  </conditionalFormatting>
  <conditionalFormatting sqref="Z10">
    <cfRule type="expression" dxfId="22" priority="23">
      <formula>$Z$10=$D$10</formula>
    </cfRule>
  </conditionalFormatting>
  <conditionalFormatting sqref="AA10">
    <cfRule type="expression" dxfId="21" priority="22">
      <formula>$AA$10=$D$10</formula>
    </cfRule>
  </conditionalFormatting>
  <conditionalFormatting sqref="AB10">
    <cfRule type="expression" dxfId="20" priority="21">
      <formula>$AB$10=$D$10</formula>
    </cfRule>
  </conditionalFormatting>
  <conditionalFormatting sqref="I41">
    <cfRule type="expression" dxfId="19" priority="5">
      <formula>$I$10=$D$10</formula>
    </cfRule>
  </conditionalFormatting>
  <conditionalFormatting sqref="J41">
    <cfRule type="expression" dxfId="18" priority="6">
      <formula>$J$10=$D$10</formula>
    </cfRule>
  </conditionalFormatting>
  <conditionalFormatting sqref="K41">
    <cfRule type="expression" dxfId="17" priority="7">
      <formula>$K$10=$D$10</formula>
    </cfRule>
  </conditionalFormatting>
  <conditionalFormatting sqref="L41">
    <cfRule type="expression" dxfId="16" priority="8">
      <formula>$L$10=$D$10</formula>
    </cfRule>
  </conditionalFormatting>
  <conditionalFormatting sqref="M41">
    <cfRule type="expression" dxfId="15" priority="9">
      <formula>$M$10=$D$10</formula>
    </cfRule>
  </conditionalFormatting>
  <conditionalFormatting sqref="N41">
    <cfRule type="expression" dxfId="14" priority="10">
      <formula>$N$10=$D$10</formula>
    </cfRule>
  </conditionalFormatting>
  <conditionalFormatting sqref="O41">
    <cfRule type="expression" dxfId="13" priority="11">
      <formula>$O$10=$D$10</formula>
    </cfRule>
  </conditionalFormatting>
  <conditionalFormatting sqref="P41">
    <cfRule type="expression" dxfId="12" priority="12">
      <formula>$P$10=$D$10</formula>
    </cfRule>
  </conditionalFormatting>
  <conditionalFormatting sqref="Q41">
    <cfRule type="expression" dxfId="11" priority="13">
      <formula>$Q$10=$D$10</formula>
    </cfRule>
  </conditionalFormatting>
  <conditionalFormatting sqref="R41">
    <cfRule type="expression" dxfId="10" priority="14">
      <formula>$R$10=$D$10</formula>
    </cfRule>
  </conditionalFormatting>
  <conditionalFormatting sqref="S41">
    <cfRule type="expression" dxfId="9" priority="15">
      <formula>$S$10=$D$10</formula>
    </cfRule>
  </conditionalFormatting>
  <conditionalFormatting sqref="T41">
    <cfRule type="expression" dxfId="8" priority="16">
      <formula>$T$10=$D$10</formula>
    </cfRule>
  </conditionalFormatting>
  <conditionalFormatting sqref="U41">
    <cfRule type="expression" dxfId="7" priority="17">
      <formula>$U$10=$D$10</formula>
    </cfRule>
  </conditionalFormatting>
  <conditionalFormatting sqref="V41">
    <cfRule type="expression" dxfId="6" priority="18">
      <formula>$V$10=$D$10</formula>
    </cfRule>
  </conditionalFormatting>
  <conditionalFormatting sqref="W41">
    <cfRule type="expression" dxfId="5" priority="19">
      <formula>$W$10=$D$10</formula>
    </cfRule>
  </conditionalFormatting>
  <conditionalFormatting sqref="X41">
    <cfRule type="expression" dxfId="4" priority="20">
      <formula>$X$10=$D$10</formula>
    </cfRule>
  </conditionalFormatting>
  <conditionalFormatting sqref="Y41">
    <cfRule type="expression" dxfId="3" priority="4">
      <formula>$Y$10=$D$10</formula>
    </cfRule>
  </conditionalFormatting>
  <conditionalFormatting sqref="Z41">
    <cfRule type="expression" dxfId="2" priority="3">
      <formula>$Z$10=$D$10</formula>
    </cfRule>
  </conditionalFormatting>
  <conditionalFormatting sqref="AA41">
    <cfRule type="expression" dxfId="1" priority="2">
      <formula>$AA$10=$D$10</formula>
    </cfRule>
  </conditionalFormatting>
  <conditionalFormatting sqref="AB41">
    <cfRule type="expression" dxfId="0" priority="1">
      <formula>$AB$10=$D$10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9"/>
  <sheetViews>
    <sheetView tabSelected="1" workbookViewId="0">
      <selection activeCell="N25" sqref="N25"/>
    </sheetView>
  </sheetViews>
  <sheetFormatPr defaultColWidth="9.109375" defaultRowHeight="13.8"/>
  <cols>
    <col min="1" max="1" width="9.109375" style="101"/>
    <col min="2" max="2" width="6" style="101" customWidth="1"/>
    <col min="3" max="4" width="9.109375" style="21"/>
    <col min="5" max="5" width="15.44140625" style="21" bestFit="1" customWidth="1"/>
    <col min="6" max="6" width="9.109375" style="21"/>
    <col min="7" max="20" width="9.109375" style="101"/>
    <col min="21" max="21" width="10.44140625" style="101" customWidth="1"/>
    <col min="22" max="16384" width="9.109375" style="101"/>
  </cols>
  <sheetData>
    <row r="1" spans="2:23">
      <c r="B1" s="99" t="s">
        <v>88</v>
      </c>
      <c r="C1" s="99"/>
      <c r="D1" s="99"/>
      <c r="E1" s="13" t="s">
        <v>53</v>
      </c>
      <c r="F1" s="100">
        <v>1</v>
      </c>
      <c r="G1" s="100">
        <v>1.6</v>
      </c>
      <c r="H1" s="100">
        <v>1.7</v>
      </c>
    </row>
    <row r="2" spans="2:23">
      <c r="B2" s="99" t="s">
        <v>89</v>
      </c>
      <c r="C2" s="99"/>
      <c r="D2" s="102"/>
      <c r="E2" s="14" t="s">
        <v>15</v>
      </c>
      <c r="F2" s="14"/>
      <c r="G2" s="135"/>
      <c r="H2" s="136">
        <v>5</v>
      </c>
      <c r="I2" s="136">
        <v>5</v>
      </c>
      <c r="J2" s="136">
        <v>5</v>
      </c>
      <c r="K2" s="136">
        <v>5</v>
      </c>
      <c r="L2" s="136">
        <v>5</v>
      </c>
      <c r="M2" s="136">
        <v>5</v>
      </c>
      <c r="N2" s="137">
        <v>5</v>
      </c>
      <c r="O2" s="129">
        <v>3</v>
      </c>
      <c r="P2" s="130">
        <v>3</v>
      </c>
      <c r="Q2" s="131">
        <v>3</v>
      </c>
      <c r="R2" s="114">
        <v>2</v>
      </c>
      <c r="S2" s="115">
        <v>2</v>
      </c>
      <c r="T2" s="115">
        <v>2</v>
      </c>
      <c r="U2" s="116">
        <v>2</v>
      </c>
    </row>
    <row r="3" spans="2:23">
      <c r="B3" s="99"/>
      <c r="C3" s="99"/>
      <c r="D3" s="102"/>
      <c r="E3" s="111" t="s">
        <v>90</v>
      </c>
      <c r="F3" s="111"/>
      <c r="G3" s="138"/>
      <c r="H3" s="139">
        <f>H2</f>
        <v>5</v>
      </c>
      <c r="I3" s="139">
        <f>SUM($H$2:I2)</f>
        <v>10</v>
      </c>
      <c r="J3" s="139">
        <f>SUM($H$2:J2)</f>
        <v>15</v>
      </c>
      <c r="K3" s="139">
        <f>SUM($H$2:K2)</f>
        <v>20</v>
      </c>
      <c r="L3" s="139">
        <f>SUM($H$2:L2)</f>
        <v>25</v>
      </c>
      <c r="M3" s="139">
        <f>SUM($H$2:M2)</f>
        <v>30</v>
      </c>
      <c r="N3" s="140">
        <f>SUM($H$2:N2)</f>
        <v>35</v>
      </c>
      <c r="O3" s="132">
        <f>SUM($H$2:O2)</f>
        <v>38</v>
      </c>
      <c r="P3" s="133">
        <f>SUM($H$2:P2)</f>
        <v>41</v>
      </c>
      <c r="Q3" s="134">
        <f>SUM($H$2:Q2)</f>
        <v>44</v>
      </c>
      <c r="R3" s="117">
        <f>SUM($H$2:R2)</f>
        <v>46</v>
      </c>
      <c r="S3" s="118">
        <f>SUM($H$2:S2)</f>
        <v>48</v>
      </c>
      <c r="T3" s="118">
        <f>SUM($H$2:T2)</f>
        <v>50</v>
      </c>
      <c r="U3" s="119">
        <f>SUM($H$2:U2)</f>
        <v>52</v>
      </c>
    </row>
    <row r="4" spans="2:23">
      <c r="B4" s="103" t="s">
        <v>91</v>
      </c>
      <c r="C4" s="103"/>
      <c r="D4" s="104"/>
      <c r="E4" s="17" t="s">
        <v>16</v>
      </c>
      <c r="F4" s="17"/>
      <c r="G4" s="138">
        <v>30</v>
      </c>
      <c r="H4" s="139">
        <v>30</v>
      </c>
      <c r="I4" s="139">
        <v>30</v>
      </c>
      <c r="J4" s="139">
        <v>30</v>
      </c>
      <c r="K4" s="139">
        <v>30</v>
      </c>
      <c r="L4" s="139">
        <v>30</v>
      </c>
      <c r="M4" s="139">
        <v>30</v>
      </c>
      <c r="N4" s="140">
        <v>30</v>
      </c>
      <c r="O4" s="132">
        <v>5</v>
      </c>
      <c r="P4" s="133">
        <v>5</v>
      </c>
      <c r="Q4" s="134">
        <v>5</v>
      </c>
      <c r="R4" s="117">
        <v>3</v>
      </c>
      <c r="S4" s="118">
        <v>3</v>
      </c>
      <c r="T4" s="118">
        <v>3</v>
      </c>
      <c r="U4" s="119">
        <v>3</v>
      </c>
    </row>
    <row r="5" spans="2:23" ht="14.4">
      <c r="B5" s="105" t="s">
        <v>92</v>
      </c>
      <c r="C5" s="106">
        <f>F1</f>
        <v>1</v>
      </c>
      <c r="D5" s="106">
        <f>G1</f>
        <v>1.6</v>
      </c>
      <c r="E5" s="106">
        <f>H1</f>
        <v>1.7</v>
      </c>
      <c r="F5" s="112" t="s">
        <v>93</v>
      </c>
      <c r="G5" s="141" t="s">
        <v>34</v>
      </c>
      <c r="H5" s="121" t="s">
        <v>35</v>
      </c>
      <c r="I5" s="121" t="s">
        <v>36</v>
      </c>
      <c r="J5" s="121" t="s">
        <v>37</v>
      </c>
      <c r="K5" s="121" t="s">
        <v>38</v>
      </c>
      <c r="L5" s="121" t="s">
        <v>39</v>
      </c>
      <c r="M5" s="121" t="s">
        <v>40</v>
      </c>
      <c r="N5" s="122" t="s">
        <v>41</v>
      </c>
      <c r="O5" s="120" t="s">
        <v>42</v>
      </c>
      <c r="P5" s="121" t="s">
        <v>43</v>
      </c>
      <c r="Q5" s="122" t="s">
        <v>44</v>
      </c>
      <c r="R5" s="120" t="s">
        <v>45</v>
      </c>
      <c r="S5" s="121" t="s">
        <v>46</v>
      </c>
      <c r="T5" s="121" t="s">
        <v>47</v>
      </c>
      <c r="U5" s="122" t="s">
        <v>48</v>
      </c>
    </row>
    <row r="6" spans="2:23">
      <c r="B6" s="107" t="s">
        <v>34</v>
      </c>
      <c r="C6" s="18">
        <v>0.01</v>
      </c>
      <c r="D6" s="19">
        <f>C6</f>
        <v>0.01</v>
      </c>
      <c r="E6" s="19">
        <f>C6</f>
        <v>0.01</v>
      </c>
      <c r="F6" s="110">
        <v>0.01</v>
      </c>
      <c r="G6" s="126">
        <f>F6*G4*100</f>
        <v>30</v>
      </c>
      <c r="H6" s="142">
        <f>$F$6*(H4-H3)*100</f>
        <v>25</v>
      </c>
      <c r="I6" s="142">
        <f t="shared" ref="I6:U6" si="0">$F$6*(I4-I3)*100</f>
        <v>20</v>
      </c>
      <c r="J6" s="142">
        <f t="shared" si="0"/>
        <v>15</v>
      </c>
      <c r="K6" s="142">
        <f t="shared" si="0"/>
        <v>10</v>
      </c>
      <c r="L6" s="142">
        <f t="shared" si="0"/>
        <v>5</v>
      </c>
      <c r="M6" s="142">
        <f t="shared" si="0"/>
        <v>0</v>
      </c>
      <c r="N6" s="143">
        <f t="shared" si="0"/>
        <v>-5</v>
      </c>
      <c r="O6" s="123">
        <f t="shared" si="0"/>
        <v>-33</v>
      </c>
      <c r="P6" s="124">
        <f t="shared" si="0"/>
        <v>-36</v>
      </c>
      <c r="Q6" s="125">
        <f t="shared" si="0"/>
        <v>-39</v>
      </c>
      <c r="R6" s="123">
        <f t="shared" si="0"/>
        <v>-43</v>
      </c>
      <c r="S6" s="124">
        <f t="shared" si="0"/>
        <v>-45</v>
      </c>
      <c r="T6" s="124">
        <f t="shared" si="0"/>
        <v>-47</v>
      </c>
      <c r="U6" s="125">
        <f t="shared" si="0"/>
        <v>-49</v>
      </c>
      <c r="V6" s="108"/>
      <c r="W6" s="108"/>
    </row>
    <row r="7" spans="2:23">
      <c r="B7" s="107" t="s">
        <v>35</v>
      </c>
      <c r="C7" s="19">
        <f>C6*$F$1</f>
        <v>0.01</v>
      </c>
      <c r="D7" s="19">
        <f t="shared" ref="D7:D20" si="1">D6*$G$1</f>
        <v>1.6E-2</v>
      </c>
      <c r="E7" s="19">
        <f t="shared" ref="E7:E20" si="2">E6*$H$1</f>
        <v>1.7000000000000001E-2</v>
      </c>
      <c r="F7" s="19">
        <f>F6*$F$1</f>
        <v>0.01</v>
      </c>
      <c r="G7" s="144"/>
      <c r="H7" s="127">
        <f>F7*H4*100</f>
        <v>30</v>
      </c>
      <c r="I7" s="142">
        <f>$F$7*(I4-(I3-H3))*100</f>
        <v>25</v>
      </c>
      <c r="J7" s="142">
        <f>$F$7*100*(J4-(J3-$H$3))</f>
        <v>20</v>
      </c>
      <c r="K7" s="142">
        <f t="shared" ref="K7:U7" si="3">$F$7*100*(K4-(K3-$H$3))</f>
        <v>15</v>
      </c>
      <c r="L7" s="142">
        <f t="shared" si="3"/>
        <v>10</v>
      </c>
      <c r="M7" s="142">
        <f t="shared" si="3"/>
        <v>5</v>
      </c>
      <c r="N7" s="143">
        <f t="shared" si="3"/>
        <v>0</v>
      </c>
      <c r="O7" s="123">
        <f t="shared" si="3"/>
        <v>-28</v>
      </c>
      <c r="P7" s="124">
        <f t="shared" si="3"/>
        <v>-31</v>
      </c>
      <c r="Q7" s="125">
        <f t="shared" si="3"/>
        <v>-34</v>
      </c>
      <c r="R7" s="123">
        <f t="shared" si="3"/>
        <v>-38</v>
      </c>
      <c r="S7" s="124">
        <f t="shared" si="3"/>
        <v>-40</v>
      </c>
      <c r="T7" s="124">
        <f t="shared" si="3"/>
        <v>-42</v>
      </c>
      <c r="U7" s="125">
        <f t="shared" si="3"/>
        <v>-44</v>
      </c>
      <c r="V7" s="108"/>
      <c r="W7" s="108"/>
    </row>
    <row r="8" spans="2:23">
      <c r="B8" s="107" t="s">
        <v>36</v>
      </c>
      <c r="C8" s="19">
        <f>C7*$F$1</f>
        <v>0.01</v>
      </c>
      <c r="D8" s="19">
        <f t="shared" si="1"/>
        <v>2.5600000000000001E-2</v>
      </c>
      <c r="E8" s="19">
        <f t="shared" si="2"/>
        <v>2.8900000000000002E-2</v>
      </c>
      <c r="F8" s="19">
        <f>F7*$F$1</f>
        <v>0.01</v>
      </c>
      <c r="G8" s="144"/>
      <c r="H8" s="142"/>
      <c r="I8" s="127">
        <f>F8*I4*100</f>
        <v>30</v>
      </c>
      <c r="J8" s="142">
        <f>$F$8*100*(J4 -(J3-$I$3))</f>
        <v>25</v>
      </c>
      <c r="K8" s="142">
        <f t="shared" ref="K8:U8" si="4">$F$8*100*(K4 -(K3-$I$3))</f>
        <v>20</v>
      </c>
      <c r="L8" s="142">
        <f t="shared" si="4"/>
        <v>15</v>
      </c>
      <c r="M8" s="142">
        <f t="shared" si="4"/>
        <v>10</v>
      </c>
      <c r="N8" s="143">
        <f t="shared" si="4"/>
        <v>5</v>
      </c>
      <c r="O8" s="123">
        <f t="shared" si="4"/>
        <v>-23</v>
      </c>
      <c r="P8" s="124">
        <f t="shared" si="4"/>
        <v>-26</v>
      </c>
      <c r="Q8" s="125">
        <f t="shared" si="4"/>
        <v>-29</v>
      </c>
      <c r="R8" s="123">
        <f t="shared" si="4"/>
        <v>-33</v>
      </c>
      <c r="S8" s="124">
        <f t="shared" si="4"/>
        <v>-35</v>
      </c>
      <c r="T8" s="124">
        <f t="shared" si="4"/>
        <v>-37</v>
      </c>
      <c r="U8" s="125">
        <f t="shared" si="4"/>
        <v>-39</v>
      </c>
      <c r="V8" s="108"/>
      <c r="W8" s="108"/>
    </row>
    <row r="9" spans="2:23">
      <c r="B9" s="107" t="s">
        <v>37</v>
      </c>
      <c r="C9" s="19">
        <f t="shared" ref="C9:C20" si="5">C8*$F$1</f>
        <v>0.01</v>
      </c>
      <c r="D9" s="19">
        <f t="shared" si="1"/>
        <v>4.0960000000000003E-2</v>
      </c>
      <c r="E9" s="19">
        <f t="shared" si="2"/>
        <v>4.913E-2</v>
      </c>
      <c r="F9" s="19">
        <f t="shared" ref="F9:F13" si="6">F8*$F$1</f>
        <v>0.01</v>
      </c>
      <c r="G9" s="144"/>
      <c r="H9" s="142"/>
      <c r="I9" s="142"/>
      <c r="J9" s="127">
        <f>F9*J4*100</f>
        <v>30</v>
      </c>
      <c r="K9" s="142">
        <f>$F$9*(K4-(K3-$J$3))*100</f>
        <v>25</v>
      </c>
      <c r="L9" s="142">
        <f t="shared" ref="L9:U9" si="7">$F$9*(L4-(L3-$J$3))*100</f>
        <v>20</v>
      </c>
      <c r="M9" s="142">
        <f t="shared" si="7"/>
        <v>15</v>
      </c>
      <c r="N9" s="143">
        <f t="shared" si="7"/>
        <v>10</v>
      </c>
      <c r="O9" s="123">
        <f t="shared" si="7"/>
        <v>-18</v>
      </c>
      <c r="P9" s="124">
        <f t="shared" si="7"/>
        <v>-21</v>
      </c>
      <c r="Q9" s="125">
        <f t="shared" si="7"/>
        <v>-24</v>
      </c>
      <c r="R9" s="123">
        <f t="shared" si="7"/>
        <v>-28.000000000000004</v>
      </c>
      <c r="S9" s="124">
        <f t="shared" si="7"/>
        <v>-30</v>
      </c>
      <c r="T9" s="124">
        <f t="shared" si="7"/>
        <v>-32</v>
      </c>
      <c r="U9" s="125">
        <f t="shared" si="7"/>
        <v>-34</v>
      </c>
      <c r="V9" s="108"/>
      <c r="W9" s="108"/>
    </row>
    <row r="10" spans="2:23">
      <c r="B10" s="107" t="s">
        <v>38</v>
      </c>
      <c r="C10" s="19">
        <f t="shared" si="5"/>
        <v>0.01</v>
      </c>
      <c r="D10" s="19">
        <f t="shared" si="1"/>
        <v>6.5536000000000011E-2</v>
      </c>
      <c r="E10" s="19">
        <f t="shared" si="2"/>
        <v>8.3520999999999998E-2</v>
      </c>
      <c r="F10" s="19">
        <f t="shared" si="6"/>
        <v>0.01</v>
      </c>
      <c r="G10" s="144"/>
      <c r="H10" s="142"/>
      <c r="I10" s="142"/>
      <c r="J10" s="142"/>
      <c r="K10" s="127">
        <f>F10*K4*100</f>
        <v>30</v>
      </c>
      <c r="L10" s="142">
        <f>$F$10*(L4-(L3-$K$3))*100</f>
        <v>25</v>
      </c>
      <c r="M10" s="142">
        <f>$F$10*(M4-(M3-$K$3))*100</f>
        <v>20</v>
      </c>
      <c r="N10" s="143">
        <f t="shared" ref="N10:U10" si="8">$F$10*(N4-(N3-$K$3))*100</f>
        <v>15</v>
      </c>
      <c r="O10" s="123">
        <f t="shared" si="8"/>
        <v>-13</v>
      </c>
      <c r="P10" s="124">
        <f t="shared" si="8"/>
        <v>-16</v>
      </c>
      <c r="Q10" s="125">
        <f t="shared" si="8"/>
        <v>-19</v>
      </c>
      <c r="R10" s="123">
        <f t="shared" si="8"/>
        <v>-23</v>
      </c>
      <c r="S10" s="124">
        <f t="shared" si="8"/>
        <v>-25</v>
      </c>
      <c r="T10" s="124">
        <f t="shared" si="8"/>
        <v>-27</v>
      </c>
      <c r="U10" s="125">
        <f t="shared" si="8"/>
        <v>-28.999999999999996</v>
      </c>
      <c r="V10" s="108"/>
      <c r="W10" s="108"/>
    </row>
    <row r="11" spans="2:23">
      <c r="B11" s="107" t="s">
        <v>39</v>
      </c>
      <c r="C11" s="19">
        <f t="shared" si="5"/>
        <v>0.01</v>
      </c>
      <c r="D11" s="19">
        <f t="shared" si="1"/>
        <v>0.10485760000000002</v>
      </c>
      <c r="E11" s="19">
        <f t="shared" si="2"/>
        <v>0.14198569999999999</v>
      </c>
      <c r="F11" s="19">
        <f t="shared" si="6"/>
        <v>0.01</v>
      </c>
      <c r="G11" s="144"/>
      <c r="H11" s="142"/>
      <c r="I11" s="142"/>
      <c r="J11" s="142"/>
      <c r="K11" s="142"/>
      <c r="L11" s="127">
        <f>F11*L4*100</f>
        <v>30</v>
      </c>
      <c r="M11" s="142">
        <f>$F$11*(M4-(M3-$L$3))*100</f>
        <v>25</v>
      </c>
      <c r="N11" s="143">
        <f>$F$11*(N4-(N3-$L$3))*100</f>
        <v>20</v>
      </c>
      <c r="O11" s="123">
        <f t="shared" ref="O11:U11" si="9">$F$11*(O4-(O3-$L$3))*100</f>
        <v>-8</v>
      </c>
      <c r="P11" s="124">
        <f t="shared" si="9"/>
        <v>-11</v>
      </c>
      <c r="Q11" s="125">
        <f t="shared" si="9"/>
        <v>-14.000000000000002</v>
      </c>
      <c r="R11" s="123">
        <f t="shared" si="9"/>
        <v>-18</v>
      </c>
      <c r="S11" s="124">
        <f t="shared" si="9"/>
        <v>-20</v>
      </c>
      <c r="T11" s="124">
        <f t="shared" si="9"/>
        <v>-22</v>
      </c>
      <c r="U11" s="125">
        <f t="shared" si="9"/>
        <v>-24</v>
      </c>
      <c r="V11" s="108"/>
      <c r="W11" s="108"/>
    </row>
    <row r="12" spans="2:23">
      <c r="B12" s="107" t="s">
        <v>40</v>
      </c>
      <c r="C12" s="19">
        <f t="shared" si="5"/>
        <v>0.01</v>
      </c>
      <c r="D12" s="19">
        <f t="shared" si="1"/>
        <v>0.16777216000000006</v>
      </c>
      <c r="E12" s="19">
        <f t="shared" si="2"/>
        <v>0.24137568999999998</v>
      </c>
      <c r="F12" s="19">
        <v>0.01</v>
      </c>
      <c r="G12" s="144"/>
      <c r="H12" s="142"/>
      <c r="I12" s="142"/>
      <c r="J12" s="142"/>
      <c r="K12" s="142"/>
      <c r="L12" s="142"/>
      <c r="M12" s="127">
        <f>F12*M4*100</f>
        <v>30</v>
      </c>
      <c r="N12" s="143">
        <f>$F$12*(N4-(N3-$M$3))*100</f>
        <v>25</v>
      </c>
      <c r="O12" s="123">
        <f>$F$12*(O4-(O3-$M$3))*100</f>
        <v>-3</v>
      </c>
      <c r="P12" s="124">
        <f t="shared" ref="P12:U12" si="10">$F$12*(P4-(P3-$M$3))*100</f>
        <v>-6</v>
      </c>
      <c r="Q12" s="125">
        <f t="shared" si="10"/>
        <v>-9</v>
      </c>
      <c r="R12" s="123">
        <f t="shared" si="10"/>
        <v>-13</v>
      </c>
      <c r="S12" s="124">
        <f t="shared" si="10"/>
        <v>-15</v>
      </c>
      <c r="T12" s="124">
        <f t="shared" si="10"/>
        <v>-17</v>
      </c>
      <c r="U12" s="125">
        <f t="shared" si="10"/>
        <v>-19</v>
      </c>
      <c r="V12" s="108"/>
      <c r="W12" s="108"/>
    </row>
    <row r="13" spans="2:23">
      <c r="B13" s="107" t="s">
        <v>41</v>
      </c>
      <c r="C13" s="19">
        <f t="shared" si="5"/>
        <v>0.01</v>
      </c>
      <c r="D13" s="19">
        <f t="shared" si="1"/>
        <v>0.26843545600000013</v>
      </c>
      <c r="E13" s="19">
        <f t="shared" si="2"/>
        <v>0.41033867299999993</v>
      </c>
      <c r="F13" s="19">
        <f t="shared" si="6"/>
        <v>0.01</v>
      </c>
      <c r="G13" s="144"/>
      <c r="H13" s="142"/>
      <c r="I13" s="142"/>
      <c r="J13" s="142"/>
      <c r="K13" s="142"/>
      <c r="L13" s="142"/>
      <c r="M13" s="142"/>
      <c r="N13" s="128">
        <f>F13*N4*100</f>
        <v>30</v>
      </c>
      <c r="O13" s="123">
        <f>$F$13*(O4-(O3-$N$3))*100</f>
        <v>2</v>
      </c>
      <c r="P13" s="124">
        <f>$F$13*(P4-(P3-$N$3))*100</f>
        <v>-1</v>
      </c>
      <c r="Q13" s="125">
        <f t="shared" ref="Q13:U13" si="11">$F$13*(Q4-(Q3-$N$3))*100</f>
        <v>-4</v>
      </c>
      <c r="R13" s="123">
        <f t="shared" si="11"/>
        <v>-8</v>
      </c>
      <c r="S13" s="124">
        <f t="shared" si="11"/>
        <v>-10</v>
      </c>
      <c r="T13" s="124">
        <f t="shared" si="11"/>
        <v>-12</v>
      </c>
      <c r="U13" s="125">
        <f t="shared" si="11"/>
        <v>-14.000000000000002</v>
      </c>
      <c r="V13" s="108"/>
      <c r="W13" s="108"/>
    </row>
    <row r="14" spans="2:23">
      <c r="B14" s="107" t="s">
        <v>42</v>
      </c>
      <c r="C14" s="19">
        <f t="shared" si="5"/>
        <v>0.01</v>
      </c>
      <c r="D14" s="19">
        <f t="shared" si="1"/>
        <v>0.42949672960000024</v>
      </c>
      <c r="E14" s="19">
        <f t="shared" si="2"/>
        <v>0.69757574409999989</v>
      </c>
      <c r="F14" s="19">
        <v>0.43</v>
      </c>
      <c r="G14" s="123"/>
      <c r="H14" s="124"/>
      <c r="I14" s="124"/>
      <c r="J14" s="124"/>
      <c r="K14" s="124"/>
      <c r="L14" s="124"/>
      <c r="M14" s="124"/>
      <c r="N14" s="125"/>
      <c r="O14" s="126">
        <f>F14*O4*100</f>
        <v>215</v>
      </c>
      <c r="P14" s="124">
        <f>$F$14*(P4-(P3-$O$3))*100</f>
        <v>86</v>
      </c>
      <c r="Q14" s="125">
        <f>$F$14*(Q4-(Q3-$O$3))*100</f>
        <v>-43</v>
      </c>
      <c r="R14" s="123">
        <f t="shared" ref="R14:U14" si="12">$F$14*(R4-(R3-$O$3))*100</f>
        <v>-215</v>
      </c>
      <c r="S14" s="124">
        <f t="shared" si="12"/>
        <v>-301</v>
      </c>
      <c r="T14" s="124">
        <f t="shared" si="12"/>
        <v>-387</v>
      </c>
      <c r="U14" s="125">
        <f t="shared" si="12"/>
        <v>-472.99999999999994</v>
      </c>
      <c r="V14" s="108"/>
      <c r="W14" s="108"/>
    </row>
    <row r="15" spans="2:23" ht="14.1" customHeight="1">
      <c r="B15" s="107" t="s">
        <v>43</v>
      </c>
      <c r="C15" s="19">
        <f t="shared" si="5"/>
        <v>0.01</v>
      </c>
      <c r="D15" s="19">
        <f t="shared" si="1"/>
        <v>0.6871947673600004</v>
      </c>
      <c r="E15" s="19">
        <f t="shared" si="2"/>
        <v>1.1858787649699998</v>
      </c>
      <c r="F15" s="19">
        <v>0.69</v>
      </c>
      <c r="G15" s="123"/>
      <c r="H15" s="124"/>
      <c r="I15" s="124"/>
      <c r="J15" s="124"/>
      <c r="K15" s="124"/>
      <c r="L15" s="124"/>
      <c r="M15" s="124"/>
      <c r="N15" s="125"/>
      <c r="O15" s="123"/>
      <c r="P15" s="127">
        <f>F15*P4*100</f>
        <v>345</v>
      </c>
      <c r="Q15" s="125">
        <f>$F$15*(Q4-(Q3-$P$3))*100</f>
        <v>138</v>
      </c>
      <c r="R15" s="123">
        <f>$F$15*(R4-(R3-$P$3))*100</f>
        <v>-138</v>
      </c>
      <c r="S15" s="124">
        <f t="shared" ref="S15:U15" si="13">$F$15*(S4-(S3-$P$3))*100</f>
        <v>-276</v>
      </c>
      <c r="T15" s="124">
        <f t="shared" si="13"/>
        <v>-413.99999999999994</v>
      </c>
      <c r="U15" s="125">
        <f t="shared" si="13"/>
        <v>-552</v>
      </c>
      <c r="V15" s="108"/>
      <c r="W15" s="108"/>
    </row>
    <row r="16" spans="2:23">
      <c r="B16" s="107" t="s">
        <v>44</v>
      </c>
      <c r="C16" s="19">
        <f t="shared" si="5"/>
        <v>0.01</v>
      </c>
      <c r="D16" s="19">
        <f t="shared" si="1"/>
        <v>1.0995116277760006</v>
      </c>
      <c r="E16" s="19">
        <f t="shared" si="2"/>
        <v>2.0159939004489997</v>
      </c>
      <c r="F16" s="19">
        <v>1.1000000000000001</v>
      </c>
      <c r="G16" s="123"/>
      <c r="H16" s="124"/>
      <c r="I16" s="124"/>
      <c r="J16" s="124"/>
      <c r="K16" s="124"/>
      <c r="L16" s="124"/>
      <c r="M16" s="124"/>
      <c r="N16" s="125"/>
      <c r="O16" s="123"/>
      <c r="P16" s="124"/>
      <c r="Q16" s="128">
        <f>F16*Q4*100</f>
        <v>550</v>
      </c>
      <c r="R16" s="123">
        <f>$F$16*(R4-(R3-$Q$3))*100</f>
        <v>110.00000000000001</v>
      </c>
      <c r="S16" s="124">
        <f>$F$16*(S4-(S3-$Q$3))*100</f>
        <v>-110.00000000000001</v>
      </c>
      <c r="T16" s="124">
        <f t="shared" ref="T16:U16" si="14">$F$16*(T4-(T3-$Q$3))*100</f>
        <v>-330</v>
      </c>
      <c r="U16" s="125">
        <f t="shared" si="14"/>
        <v>-550</v>
      </c>
      <c r="V16" s="108"/>
      <c r="W16" s="108"/>
    </row>
    <row r="17" spans="2:23">
      <c r="B17" s="107" t="s">
        <v>45</v>
      </c>
      <c r="C17" s="19">
        <f t="shared" si="5"/>
        <v>0.01</v>
      </c>
      <c r="D17" s="19">
        <f t="shared" si="1"/>
        <v>1.7592186044416012</v>
      </c>
      <c r="E17" s="19">
        <f t="shared" si="2"/>
        <v>3.4271896307632996</v>
      </c>
      <c r="F17" s="19">
        <v>1.76</v>
      </c>
      <c r="G17" s="123"/>
      <c r="H17" s="124"/>
      <c r="I17" s="124"/>
      <c r="J17" s="124"/>
      <c r="K17" s="124"/>
      <c r="L17" s="124"/>
      <c r="M17" s="124"/>
      <c r="N17" s="125"/>
      <c r="O17" s="123"/>
      <c r="P17" s="124"/>
      <c r="Q17" s="125"/>
      <c r="R17" s="126">
        <f>F17*R4*100</f>
        <v>528</v>
      </c>
      <c r="S17" s="124">
        <f>$F$17*(S4-(S3-$R$3))*100</f>
        <v>176</v>
      </c>
      <c r="T17" s="124">
        <f>$F$17*(T4-(T3-$R$3))*100</f>
        <v>-176</v>
      </c>
      <c r="U17" s="125">
        <f t="shared" ref="U17" si="15">$F$17*(U4-(U3-$R$3))*100</f>
        <v>-528</v>
      </c>
      <c r="V17" s="108"/>
      <c r="W17" s="108"/>
    </row>
    <row r="18" spans="2:23">
      <c r="B18" s="107" t="s">
        <v>46</v>
      </c>
      <c r="C18" s="19">
        <f t="shared" si="5"/>
        <v>0.01</v>
      </c>
      <c r="D18" s="19">
        <f t="shared" si="1"/>
        <v>2.8147497671065622</v>
      </c>
      <c r="E18" s="19">
        <f t="shared" si="2"/>
        <v>5.8262223722976092</v>
      </c>
      <c r="F18" s="19">
        <v>5.83</v>
      </c>
      <c r="G18" s="123"/>
      <c r="H18" s="124"/>
      <c r="I18" s="124"/>
      <c r="J18" s="124"/>
      <c r="K18" s="124"/>
      <c r="L18" s="124"/>
      <c r="M18" s="124"/>
      <c r="N18" s="125"/>
      <c r="O18" s="123"/>
      <c r="P18" s="124"/>
      <c r="Q18" s="125"/>
      <c r="R18" s="123"/>
      <c r="S18" s="127">
        <f>F18*S4*100</f>
        <v>1749.0000000000002</v>
      </c>
      <c r="T18" s="124">
        <f>$F$18*(T4-(T3-$S$3))*100</f>
        <v>583</v>
      </c>
      <c r="U18" s="125">
        <f>$F$18*(U4-(U3-$S$3))*100</f>
        <v>-583</v>
      </c>
      <c r="V18" s="108"/>
      <c r="W18" s="108"/>
    </row>
    <row r="19" spans="2:23">
      <c r="B19" s="107" t="s">
        <v>47</v>
      </c>
      <c r="C19" s="19">
        <f t="shared" si="5"/>
        <v>0.01</v>
      </c>
      <c r="D19" s="19">
        <f t="shared" si="1"/>
        <v>4.5035996273704999</v>
      </c>
      <c r="E19" s="19">
        <f t="shared" si="2"/>
        <v>9.9045780329059347</v>
      </c>
      <c r="F19" s="19">
        <v>9.9</v>
      </c>
      <c r="G19" s="123"/>
      <c r="H19" s="124"/>
      <c r="I19" s="124"/>
      <c r="J19" s="124"/>
      <c r="K19" s="124"/>
      <c r="L19" s="124"/>
      <c r="M19" s="124"/>
      <c r="N19" s="125"/>
      <c r="O19" s="123"/>
      <c r="P19" s="124"/>
      <c r="Q19" s="125"/>
      <c r="R19" s="123"/>
      <c r="S19" s="124"/>
      <c r="T19" s="127">
        <f>F19*T4*100</f>
        <v>2970.0000000000005</v>
      </c>
      <c r="U19" s="125">
        <f>$F$19*(U4-(U3-$T$3))*100</f>
        <v>990</v>
      </c>
      <c r="V19" s="108"/>
      <c r="W19" s="108"/>
    </row>
    <row r="20" spans="2:23">
      <c r="B20" s="107" t="s">
        <v>48</v>
      </c>
      <c r="C20" s="19">
        <f t="shared" si="5"/>
        <v>0.01</v>
      </c>
      <c r="D20" s="19">
        <f t="shared" si="1"/>
        <v>7.2057594037928006</v>
      </c>
      <c r="E20" s="19">
        <f t="shared" si="2"/>
        <v>16.837782655940089</v>
      </c>
      <c r="F20" s="145">
        <v>16.84</v>
      </c>
      <c r="G20" s="146"/>
      <c r="H20" s="147"/>
      <c r="I20" s="147"/>
      <c r="J20" s="147"/>
      <c r="K20" s="147"/>
      <c r="L20" s="147"/>
      <c r="M20" s="147"/>
      <c r="N20" s="148"/>
      <c r="O20" s="146"/>
      <c r="P20" s="147"/>
      <c r="Q20" s="148"/>
      <c r="R20" s="146"/>
      <c r="S20" s="147"/>
      <c r="T20" s="147"/>
      <c r="U20" s="149">
        <f>F20*U4*100</f>
        <v>5052</v>
      </c>
      <c r="V20" s="108"/>
      <c r="W20" s="108"/>
    </row>
    <row r="21" spans="2:23">
      <c r="F21" s="109">
        <f>SUM(F6:F20)</f>
        <v>36.629999999999995</v>
      </c>
      <c r="G21" s="113">
        <f>SUMIF(G5:G20, "&lt;0")</f>
        <v>0</v>
      </c>
      <c r="H21" s="150">
        <f t="shared" ref="H21:U21" si="16">SUMIF(H5:H20, "&lt;0")</f>
        <v>0</v>
      </c>
      <c r="I21" s="150">
        <f t="shared" si="16"/>
        <v>0</v>
      </c>
      <c r="J21" s="150">
        <f t="shared" si="16"/>
        <v>0</v>
      </c>
      <c r="K21" s="150">
        <f t="shared" si="16"/>
        <v>0</v>
      </c>
      <c r="L21" s="150">
        <f t="shared" si="16"/>
        <v>0</v>
      </c>
      <c r="M21" s="150">
        <f t="shared" si="16"/>
        <v>0</v>
      </c>
      <c r="N21" s="151">
        <f t="shared" si="16"/>
        <v>-5</v>
      </c>
      <c r="O21" s="113">
        <f t="shared" si="16"/>
        <v>-126</v>
      </c>
      <c r="P21" s="150">
        <f t="shared" si="16"/>
        <v>-148</v>
      </c>
      <c r="Q21" s="151">
        <f t="shared" si="16"/>
        <v>-215</v>
      </c>
      <c r="R21" s="113">
        <f t="shared" si="16"/>
        <v>-557</v>
      </c>
      <c r="S21" s="150">
        <f t="shared" si="16"/>
        <v>-907</v>
      </c>
      <c r="T21" s="150">
        <f t="shared" si="16"/>
        <v>-1543</v>
      </c>
      <c r="U21" s="151">
        <f t="shared" si="16"/>
        <v>-2938</v>
      </c>
      <c r="V21" s="108"/>
      <c r="W21" s="108"/>
    </row>
    <row r="22" spans="2:23">
      <c r="F22" s="101"/>
      <c r="G22" s="113">
        <f>SUM(G6:G20)</f>
        <v>30</v>
      </c>
      <c r="H22" s="150">
        <f>SUM(H6:H20)</f>
        <v>55</v>
      </c>
      <c r="I22" s="150">
        <f>SUM(I6:I20)</f>
        <v>75</v>
      </c>
      <c r="J22" s="150">
        <f>SUM(J6:J20)</f>
        <v>90</v>
      </c>
      <c r="K22" s="150">
        <f>SUM(K6:K20)</f>
        <v>100</v>
      </c>
      <c r="L22" s="150">
        <f>SUM(L6:L20)</f>
        <v>105</v>
      </c>
      <c r="M22" s="150">
        <f>SUM(M6:M20)</f>
        <v>105</v>
      </c>
      <c r="N22" s="151">
        <f>SUM(N6:N20)</f>
        <v>100</v>
      </c>
      <c r="O22" s="113">
        <f>SUM(O6:O20)</f>
        <v>91</v>
      </c>
      <c r="P22" s="150">
        <f>SUM(P6:P20)</f>
        <v>283</v>
      </c>
      <c r="Q22" s="151">
        <f>SUM(Q6:Q20)</f>
        <v>473</v>
      </c>
      <c r="R22" s="113">
        <f>SUM(R6:R20)</f>
        <v>81</v>
      </c>
      <c r="S22" s="150">
        <f>SUM(S6:S20)</f>
        <v>1018.0000000000002</v>
      </c>
      <c r="T22" s="150">
        <f>SUM(T6:T20)</f>
        <v>2010.0000000000005</v>
      </c>
      <c r="U22" s="151">
        <f>SUM(U6:U20)</f>
        <v>3104</v>
      </c>
      <c r="V22" s="108"/>
      <c r="W22" s="108"/>
    </row>
    <row r="23" spans="2:23">
      <c r="F23" s="101"/>
      <c r="G23" s="108"/>
    </row>
    <row r="24" spans="2:23">
      <c r="F24" s="101"/>
    </row>
    <row r="25" spans="2:23">
      <c r="F25" s="101"/>
    </row>
    <row r="26" spans="2:23">
      <c r="F26" s="101"/>
      <c r="W26" s="108"/>
    </row>
    <row r="27" spans="2:23">
      <c r="F27" s="101"/>
    </row>
    <row r="28" spans="2:23">
      <c r="F28" s="101"/>
    </row>
    <row r="29" spans="2:23">
      <c r="F29" s="101"/>
    </row>
  </sheetData>
  <sheetProtection formatCells="0" formatColumns="0" formatRows="0" insertColumns="0" insertRows="0" insertHyperlinks="0" deleteColumns="0" deleteRows="0" sort="0" autoFilter="0" pivotTables="0"/>
  <mergeCells count="4">
    <mergeCell ref="B1:D1"/>
    <mergeCell ref="B2:D2"/>
    <mergeCell ref="B3:D3"/>
    <mergeCell ref="B4:D4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U56"/>
  <sheetViews>
    <sheetView topLeftCell="K149" zoomScale="55" zoomScaleNormal="55" workbookViewId="0">
      <selection activeCell="V224" sqref="V224"/>
    </sheetView>
  </sheetViews>
  <sheetFormatPr defaultRowHeight="14.4"/>
  <sheetData>
    <row r="3" spans="2:47">
      <c r="B3" t="s">
        <v>57</v>
      </c>
      <c r="E3" t="s">
        <v>58</v>
      </c>
      <c r="G3" t="s">
        <v>63</v>
      </c>
      <c r="M3" t="s">
        <v>59</v>
      </c>
      <c r="O3" t="s">
        <v>64</v>
      </c>
      <c r="X3" t="s">
        <v>60</v>
      </c>
      <c r="Y3" t="s">
        <v>65</v>
      </c>
      <c r="AI3" t="s">
        <v>61</v>
      </c>
      <c r="AJ3" t="s">
        <v>62</v>
      </c>
      <c r="AT3" t="s">
        <v>66</v>
      </c>
      <c r="AU3">
        <v>107.7</v>
      </c>
    </row>
    <row r="56" spans="2:38">
      <c r="B56" t="s">
        <v>67</v>
      </c>
      <c r="D56" t="s">
        <v>68</v>
      </c>
      <c r="M56" t="s">
        <v>69</v>
      </c>
      <c r="O56" t="s">
        <v>70</v>
      </c>
      <c r="X56" t="s">
        <v>71</v>
      </c>
      <c r="Z56" t="s">
        <v>72</v>
      </c>
      <c r="AI56" t="s">
        <v>73</v>
      </c>
      <c r="AJ56" t="s">
        <v>67</v>
      </c>
      <c r="AL56" t="s">
        <v>68</v>
      </c>
    </row>
  </sheetData>
  <phoneticPr fontId="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69:L169"/>
  <sheetViews>
    <sheetView topLeftCell="A130" workbookViewId="0">
      <selection activeCell="E172" sqref="E172"/>
    </sheetView>
  </sheetViews>
  <sheetFormatPr defaultRowHeight="14.4"/>
  <sheetData>
    <row r="169" spans="11:12">
      <c r="K169">
        <v>2149.9029999999998</v>
      </c>
      <c r="L169">
        <v>2159.9029999999998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Bảng Input L30</vt:lpstr>
      <vt:lpstr>Thay đổi hệ số quãng</vt:lpstr>
      <vt:lpstr>Sheet1</vt:lpstr>
      <vt:lpstr>Sheet1 (2)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Trang Đỗ</cp:lastModifiedBy>
  <dcterms:created xsi:type="dcterms:W3CDTF">2023-10-25T17:11:07Z</dcterms:created>
  <dcterms:modified xsi:type="dcterms:W3CDTF">2024-04-07T16:51:48Z</dcterms:modified>
</cp:coreProperties>
</file>