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ek\bsc_scan_binance\src\main\resources\MQL5\"/>
    </mc:Choice>
  </mc:AlternateContent>
  <bookViews>
    <workbookView xWindow="6072" yWindow="0" windowWidth="32100" windowHeight="16680" activeTab="2"/>
  </bookViews>
  <sheets>
    <sheet name="Bảng Input L30" sheetId="2" r:id="rId1"/>
    <sheet name="Sheet1" sheetId="8" r:id="rId2"/>
    <sheet name="Sheet1 (2)" sheetId="9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2" l="1"/>
  <c r="J42" i="2" s="1"/>
  <c r="K39" i="2"/>
  <c r="K42" i="2" s="1"/>
  <c r="L39" i="2"/>
  <c r="L42" i="2" s="1"/>
  <c r="M39" i="2"/>
  <c r="M44" i="2" s="1"/>
  <c r="N39" i="2"/>
  <c r="N42" i="2" s="1"/>
  <c r="O39" i="2"/>
  <c r="O42" i="2" s="1"/>
  <c r="P39" i="2"/>
  <c r="P42" i="2" s="1"/>
  <c r="Q39" i="2"/>
  <c r="Q42" i="2" s="1"/>
  <c r="R39" i="2"/>
  <c r="R42" i="2" s="1"/>
  <c r="S39" i="2"/>
  <c r="S42" i="2" s="1"/>
  <c r="T39" i="2"/>
  <c r="T42" i="2" s="1"/>
  <c r="U39" i="2"/>
  <c r="U44" i="2" s="1"/>
  <c r="V39" i="2"/>
  <c r="V42" i="2" s="1"/>
  <c r="W39" i="2"/>
  <c r="W42" i="2" s="1"/>
  <c r="F42" i="2"/>
  <c r="G42" i="2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I42" i="2"/>
  <c r="I57" i="2" s="1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F43" i="2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J43" i="2"/>
  <c r="K44" i="2"/>
  <c r="T44" i="2"/>
  <c r="L45" i="2"/>
  <c r="M46" i="2"/>
  <c r="Q46" i="2"/>
  <c r="N47" i="2"/>
  <c r="V47" i="2"/>
  <c r="O48" i="2"/>
  <c r="P49" i="2"/>
  <c r="T49" i="2"/>
  <c r="Q50" i="2"/>
  <c r="R51" i="2"/>
  <c r="T51" i="2"/>
  <c r="S52" i="2"/>
  <c r="T53" i="2"/>
  <c r="V53" i="2"/>
  <c r="U54" i="2"/>
  <c r="V55" i="2"/>
  <c r="W55" i="2"/>
  <c r="W56" i="2"/>
  <c r="H58" i="2"/>
  <c r="T45" i="2" l="1"/>
  <c r="P43" i="2"/>
  <c r="T52" i="2"/>
  <c r="R50" i="2"/>
  <c r="W48" i="2"/>
  <c r="T46" i="2"/>
  <c r="L43" i="2"/>
  <c r="R47" i="2"/>
  <c r="V50" i="2"/>
  <c r="W46" i="2"/>
  <c r="P46" i="2"/>
  <c r="Q45" i="2"/>
  <c r="U42" i="2"/>
  <c r="U53" i="2"/>
  <c r="U51" i="2"/>
  <c r="U50" i="2"/>
  <c r="Q49" i="2"/>
  <c r="U46" i="2"/>
  <c r="P45" i="2"/>
  <c r="L44" i="2"/>
  <c r="L58" i="2" s="1"/>
  <c r="M42" i="2"/>
  <c r="U45" i="2"/>
  <c r="M45" i="2"/>
  <c r="V48" i="2"/>
  <c r="W54" i="2"/>
  <c r="W49" i="2"/>
  <c r="S48" i="2"/>
  <c r="O46" i="2"/>
  <c r="P44" i="2"/>
  <c r="U52" i="2"/>
  <c r="T50" i="2"/>
  <c r="U49" i="2"/>
  <c r="R48" i="2"/>
  <c r="S46" i="2"/>
  <c r="T43" i="2"/>
  <c r="S49" i="2"/>
  <c r="Q44" i="2"/>
  <c r="J57" i="2"/>
  <c r="J58" i="2"/>
  <c r="L57" i="2"/>
  <c r="V54" i="2"/>
  <c r="W52" i="2"/>
  <c r="W51" i="2"/>
  <c r="S51" i="2"/>
  <c r="V49" i="2"/>
  <c r="R49" i="2"/>
  <c r="U48" i="2"/>
  <c r="Q48" i="2"/>
  <c r="U47" i="2"/>
  <c r="Q47" i="2"/>
  <c r="V46" i="2"/>
  <c r="R46" i="2"/>
  <c r="N46" i="2"/>
  <c r="W44" i="2"/>
  <c r="S44" i="2"/>
  <c r="O44" i="2"/>
  <c r="W43" i="2"/>
  <c r="S43" i="2"/>
  <c r="O43" i="2"/>
  <c r="K43" i="2"/>
  <c r="K58" i="2" s="1"/>
  <c r="I58" i="2"/>
  <c r="W53" i="2"/>
  <c r="V52" i="2"/>
  <c r="V51" i="2"/>
  <c r="W50" i="2"/>
  <c r="S50" i="2"/>
  <c r="T48" i="2"/>
  <c r="P48" i="2"/>
  <c r="T47" i="2"/>
  <c r="P47" i="2"/>
  <c r="W45" i="2"/>
  <c r="S45" i="2"/>
  <c r="O45" i="2"/>
  <c r="V44" i="2"/>
  <c r="R44" i="2"/>
  <c r="N44" i="2"/>
  <c r="V43" i="2"/>
  <c r="R43" i="2"/>
  <c r="N43" i="2"/>
  <c r="W47" i="2"/>
  <c r="S47" i="2"/>
  <c r="O47" i="2"/>
  <c r="V45" i="2"/>
  <c r="R45" i="2"/>
  <c r="N45" i="2"/>
  <c r="U43" i="2"/>
  <c r="Q43" i="2"/>
  <c r="M43" i="2"/>
  <c r="H5" i="2"/>
  <c r="P57" i="2" l="1"/>
  <c r="M57" i="2"/>
  <c r="S58" i="2"/>
  <c r="U58" i="2"/>
  <c r="R57" i="2"/>
  <c r="V57" i="2"/>
  <c r="W58" i="2"/>
  <c r="T58" i="2"/>
  <c r="Q57" i="2"/>
  <c r="N57" i="2"/>
  <c r="O57" i="2"/>
  <c r="M58" i="2"/>
  <c r="T57" i="2"/>
  <c r="R58" i="2"/>
  <c r="V58" i="2"/>
  <c r="S57" i="2"/>
  <c r="Q58" i="2"/>
  <c r="P58" i="2"/>
  <c r="U57" i="2"/>
  <c r="N58" i="2"/>
  <c r="O58" i="2"/>
  <c r="K57" i="2"/>
  <c r="W57" i="2"/>
  <c r="H4" i="2"/>
  <c r="J7" i="2" l="1"/>
  <c r="K7" i="2" s="1"/>
  <c r="J8" i="2" l="1"/>
  <c r="K8" i="2"/>
  <c r="L7" i="2"/>
  <c r="D3" i="2"/>
  <c r="D4" i="2" s="1"/>
  <c r="D5" i="2" s="1"/>
  <c r="D6" i="2" s="1"/>
  <c r="D7" i="2" s="1"/>
  <c r="L8" i="2" l="1"/>
  <c r="M7" i="2"/>
  <c r="B13" i="2"/>
  <c r="H11" i="2" l="1"/>
  <c r="N7" i="2"/>
  <c r="M8" i="2"/>
  <c r="A13" i="2"/>
  <c r="A14" i="2" s="1"/>
  <c r="M11" i="2" l="1"/>
  <c r="AA11" i="2"/>
  <c r="Z11" i="2"/>
  <c r="AB11" i="2"/>
  <c r="Y11" i="2"/>
  <c r="N11" i="2"/>
  <c r="I33" i="2"/>
  <c r="R11" i="2"/>
  <c r="I11" i="2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A15" i="2"/>
  <c r="D14" i="2"/>
  <c r="B14" i="2"/>
  <c r="D13" i="2"/>
  <c r="C13" i="2" s="1"/>
  <c r="AA12" i="2" l="1"/>
  <c r="Z12" i="2"/>
  <c r="Y12" i="2"/>
  <c r="AB12" i="2"/>
  <c r="I31" i="2"/>
  <c r="I32" i="2"/>
  <c r="R12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33" i="2"/>
  <c r="J12" i="2"/>
  <c r="J31" i="2" s="1"/>
  <c r="O8" i="2"/>
  <c r="P7" i="2"/>
  <c r="A16" i="2"/>
  <c r="D15" i="2"/>
  <c r="B15" i="2"/>
  <c r="C14" i="2"/>
  <c r="Z13" i="2" l="1"/>
  <c r="Y13" i="2"/>
  <c r="AA13" i="2"/>
  <c r="AB13" i="2"/>
  <c r="X13" i="2"/>
  <c r="J32" i="2"/>
  <c r="K33" i="2"/>
  <c r="N13" i="2"/>
  <c r="V13" i="2"/>
  <c r="U13" i="2"/>
  <c r="M13" i="2"/>
  <c r="W13" i="2"/>
  <c r="R13" i="2"/>
  <c r="S13" i="2"/>
  <c r="O13" i="2"/>
  <c r="K13" i="2"/>
  <c r="K31" i="2" s="1"/>
  <c r="Q13" i="2"/>
  <c r="T13" i="2"/>
  <c r="P13" i="2"/>
  <c r="H14" i="2"/>
  <c r="L13" i="2"/>
  <c r="P8" i="2"/>
  <c r="Q7" i="2"/>
  <c r="C15" i="2"/>
  <c r="A17" i="2"/>
  <c r="D16" i="2"/>
  <c r="B16" i="2"/>
  <c r="K32" i="2" l="1"/>
  <c r="Z14" i="2"/>
  <c r="Y14" i="2"/>
  <c r="AB14" i="2"/>
  <c r="AA14" i="2"/>
  <c r="T14" i="2"/>
  <c r="S14" i="2"/>
  <c r="V14" i="2"/>
  <c r="O14" i="2"/>
  <c r="L33" i="2"/>
  <c r="H15" i="2"/>
  <c r="W14" i="2"/>
  <c r="U14" i="2"/>
  <c r="L14" i="2"/>
  <c r="X14" i="2"/>
  <c r="R14" i="2"/>
  <c r="N14" i="2"/>
  <c r="Q14" i="2"/>
  <c r="P14" i="2"/>
  <c r="M14" i="2"/>
  <c r="Q8" i="2"/>
  <c r="R7" i="2"/>
  <c r="A18" i="2"/>
  <c r="D17" i="2"/>
  <c r="B17" i="2"/>
  <c r="C16" i="2"/>
  <c r="N15" i="2" l="1"/>
  <c r="Z15" i="2"/>
  <c r="Y15" i="2"/>
  <c r="AA15" i="2"/>
  <c r="AB15" i="2"/>
  <c r="L32" i="2"/>
  <c r="L31" i="2"/>
  <c r="R15" i="2"/>
  <c r="H16" i="2"/>
  <c r="P16" i="2" s="1"/>
  <c r="Q15" i="2"/>
  <c r="V15" i="2"/>
  <c r="M33" i="2"/>
  <c r="U15" i="2"/>
  <c r="X15" i="2"/>
  <c r="M15" i="2"/>
  <c r="M31" i="2" s="1"/>
  <c r="T15" i="2"/>
  <c r="O15" i="2"/>
  <c r="P15" i="2"/>
  <c r="S15" i="2"/>
  <c r="W15" i="2"/>
  <c r="S7" i="2"/>
  <c r="R8" i="2"/>
  <c r="H17" i="2"/>
  <c r="N16" i="2"/>
  <c r="N32" i="2" s="1"/>
  <c r="C17" i="2"/>
  <c r="A19" i="2"/>
  <c r="D18" i="2"/>
  <c r="B18" i="2"/>
  <c r="M32" i="2" l="1"/>
  <c r="V16" i="2"/>
  <c r="Z16" i="2"/>
  <c r="Y16" i="2"/>
  <c r="AB16" i="2"/>
  <c r="AA16" i="2"/>
  <c r="Z17" i="2"/>
  <c r="Y17" i="2"/>
  <c r="AA17" i="2"/>
  <c r="AB17" i="2"/>
  <c r="N31" i="2"/>
  <c r="Q16" i="2"/>
  <c r="T16" i="2"/>
  <c r="U16" i="2"/>
  <c r="N33" i="2"/>
  <c r="S16" i="2"/>
  <c r="X16" i="2"/>
  <c r="R16" i="2"/>
  <c r="W16" i="2"/>
  <c r="O16" i="2"/>
  <c r="S8" i="2"/>
  <c r="T7" i="2"/>
  <c r="Q17" i="2"/>
  <c r="U17" i="2"/>
  <c r="H18" i="2"/>
  <c r="R17" i="2"/>
  <c r="V17" i="2"/>
  <c r="P17" i="2"/>
  <c r="X17" i="2"/>
  <c r="O17" i="2"/>
  <c r="S17" i="2"/>
  <c r="T17" i="2"/>
  <c r="W17" i="2"/>
  <c r="O33" i="2"/>
  <c r="A20" i="2"/>
  <c r="D19" i="2"/>
  <c r="B19" i="2"/>
  <c r="C18" i="2"/>
  <c r="O31" i="2" l="1"/>
  <c r="O32" i="2"/>
  <c r="Z18" i="2"/>
  <c r="Y18" i="2"/>
  <c r="AB18" i="2"/>
  <c r="AA18" i="2"/>
  <c r="T8" i="2"/>
  <c r="U7" i="2"/>
  <c r="S18" i="2"/>
  <c r="W18" i="2"/>
  <c r="P18" i="2"/>
  <c r="T18" i="2"/>
  <c r="X18" i="2"/>
  <c r="V18" i="2"/>
  <c r="R18" i="2"/>
  <c r="Q18" i="2"/>
  <c r="H19" i="2"/>
  <c r="U18" i="2"/>
  <c r="P33" i="2"/>
  <c r="C19" i="2"/>
  <c r="A21" i="2"/>
  <c r="D20" i="2"/>
  <c r="B20" i="2"/>
  <c r="Z19" i="2" l="1"/>
  <c r="Y19" i="2"/>
  <c r="AB19" i="2"/>
  <c r="AA19" i="2"/>
  <c r="P31" i="2"/>
  <c r="P32" i="2"/>
  <c r="V7" i="2"/>
  <c r="U8" i="2"/>
  <c r="R19" i="2"/>
  <c r="V19" i="2"/>
  <c r="S19" i="2"/>
  <c r="W19" i="2"/>
  <c r="U19" i="2"/>
  <c r="H20" i="2"/>
  <c r="X19" i="2"/>
  <c r="T19" i="2"/>
  <c r="Q19" i="2"/>
  <c r="Q33" i="2"/>
  <c r="C20" i="2"/>
  <c r="A22" i="2"/>
  <c r="D21" i="2"/>
  <c r="B21" i="2"/>
  <c r="AB20" i="2" l="1"/>
  <c r="Z20" i="2"/>
  <c r="Y20" i="2"/>
  <c r="AA20" i="2"/>
  <c r="Q31" i="2"/>
  <c r="Q32" i="2"/>
  <c r="W7" i="2"/>
  <c r="V8" i="2"/>
  <c r="R20" i="2"/>
  <c r="V20" i="2"/>
  <c r="S20" i="2"/>
  <c r="W20" i="2"/>
  <c r="U20" i="2"/>
  <c r="T20" i="2"/>
  <c r="X20" i="2"/>
  <c r="H21" i="2"/>
  <c r="R33" i="2"/>
  <c r="C21" i="2"/>
  <c r="A23" i="2"/>
  <c r="D22" i="2"/>
  <c r="B22" i="2"/>
  <c r="R31" i="2" l="1"/>
  <c r="R32" i="2"/>
  <c r="AA21" i="2"/>
  <c r="Z21" i="2"/>
  <c r="AB21" i="2"/>
  <c r="Y21" i="2"/>
  <c r="X7" i="2"/>
  <c r="Y7" i="2" s="1"/>
  <c r="W8" i="2"/>
  <c r="S21" i="2"/>
  <c r="W21" i="2"/>
  <c r="T21" i="2"/>
  <c r="X21" i="2"/>
  <c r="V21" i="2"/>
  <c r="H22" i="2"/>
  <c r="U21" i="2"/>
  <c r="S33" i="2"/>
  <c r="C22" i="2"/>
  <c r="A24" i="2"/>
  <c r="D24" i="2" s="1"/>
  <c r="D23" i="2"/>
  <c r="B23" i="2"/>
  <c r="Z7" i="2" l="1"/>
  <c r="Y8" i="2"/>
  <c r="AA22" i="2"/>
  <c r="Z22" i="2"/>
  <c r="AB22" i="2"/>
  <c r="Y22" i="2"/>
  <c r="S31" i="2"/>
  <c r="S32" i="2"/>
  <c r="X8" i="2"/>
  <c r="U22" i="2"/>
  <c r="H23" i="2"/>
  <c r="V22" i="2"/>
  <c r="X22" i="2"/>
  <c r="W22" i="2"/>
  <c r="T22" i="2"/>
  <c r="T33" i="2"/>
  <c r="C23" i="2"/>
  <c r="A25" i="2"/>
  <c r="D25" i="2" s="1"/>
  <c r="B24" i="2"/>
  <c r="T31" i="2" l="1"/>
  <c r="T32" i="2"/>
  <c r="AB23" i="2"/>
  <c r="AA23" i="2"/>
  <c r="Z23" i="2"/>
  <c r="Y23" i="2"/>
  <c r="Z8" i="2"/>
  <c r="AA7" i="2"/>
  <c r="X23" i="2"/>
  <c r="H24" i="2"/>
  <c r="U23" i="2"/>
  <c r="W23" i="2"/>
  <c r="V23" i="2"/>
  <c r="U33" i="2"/>
  <c r="C24" i="2"/>
  <c r="A26" i="2"/>
  <c r="D26" i="2" s="1"/>
  <c r="B25" i="2"/>
  <c r="AA8" i="2" l="1"/>
  <c r="AB7" i="2"/>
  <c r="AB8" i="2" s="1"/>
  <c r="U31" i="2"/>
  <c r="U32" i="2"/>
  <c r="AA24" i="2"/>
  <c r="Z24" i="2"/>
  <c r="AB24" i="2"/>
  <c r="Y24" i="2"/>
  <c r="X24" i="2"/>
  <c r="H25" i="2"/>
  <c r="W24" i="2"/>
  <c r="V24" i="2"/>
  <c r="V33" i="2"/>
  <c r="C25" i="2"/>
  <c r="A27" i="2"/>
  <c r="D27" i="2" s="1"/>
  <c r="B26" i="2"/>
  <c r="V32" i="2" l="1"/>
  <c r="V31" i="2"/>
  <c r="AB25" i="2"/>
  <c r="AA25" i="2"/>
  <c r="Z25" i="2"/>
  <c r="X25" i="2"/>
  <c r="Y25" i="2"/>
  <c r="H26" i="2"/>
  <c r="W25" i="2"/>
  <c r="W33" i="2"/>
  <c r="C26" i="2"/>
  <c r="A28" i="2"/>
  <c r="D28" i="2" s="1"/>
  <c r="B27" i="2"/>
  <c r="H31" i="2" l="1"/>
  <c r="AA26" i="2"/>
  <c r="Z26" i="2"/>
  <c r="Y26" i="2"/>
  <c r="AB26" i="2"/>
  <c r="H27" i="2"/>
  <c r="W31" i="2"/>
  <c r="W32" i="2"/>
  <c r="X26" i="2"/>
  <c r="X33" i="2"/>
  <c r="C27" i="2"/>
  <c r="A29" i="2"/>
  <c r="D29" i="2" s="1"/>
  <c r="B28" i="2"/>
  <c r="C28" i="2" s="1"/>
  <c r="H28" i="2" l="1"/>
  <c r="Z27" i="2"/>
  <c r="AA27" i="2"/>
  <c r="Y27" i="2"/>
  <c r="AB27" i="2"/>
  <c r="Y33" i="2"/>
  <c r="X32" i="2"/>
  <c r="X31" i="2"/>
  <c r="A30" i="2"/>
  <c r="D30" i="2" s="1"/>
  <c r="B29" i="2"/>
  <c r="Y32" i="2" l="1"/>
  <c r="Y31" i="2"/>
  <c r="H29" i="2"/>
  <c r="AB28" i="2"/>
  <c r="Z28" i="2"/>
  <c r="AA28" i="2"/>
  <c r="Z33" i="2"/>
  <c r="C29" i="2"/>
  <c r="A31" i="2"/>
  <c r="D31" i="2" s="1"/>
  <c r="B30" i="2"/>
  <c r="C30" i="2" s="1"/>
  <c r="H30" i="2" l="1"/>
  <c r="AB29" i="2"/>
  <c r="AA29" i="2"/>
  <c r="AA33" i="2"/>
  <c r="Z32" i="2"/>
  <c r="Z31" i="2"/>
  <c r="A32" i="2"/>
  <c r="D32" i="2" s="1"/>
  <c r="B31" i="2"/>
  <c r="AA31" i="2" l="1"/>
  <c r="AA32" i="2"/>
  <c r="AB30" i="2"/>
  <c r="AB33" i="2"/>
  <c r="C31" i="2"/>
  <c r="A33" i="2"/>
  <c r="D33" i="2" s="1"/>
  <c r="B32" i="2"/>
  <c r="AB32" i="2" l="1"/>
  <c r="AB31" i="2"/>
  <c r="C32" i="2"/>
  <c r="A34" i="2"/>
  <c r="D34" i="2" s="1"/>
  <c r="B33" i="2"/>
  <c r="C33" i="2" l="1"/>
  <c r="B34" i="2"/>
  <c r="C34" i="2" l="1"/>
  <c r="J3" i="2" l="1"/>
  <c r="L3" i="2" s="1"/>
  <c r="N3" i="2"/>
  <c r="C35" i="2"/>
  <c r="D35" i="2"/>
</calcChain>
</file>

<file path=xl/sharedStrings.xml><?xml version="1.0" encoding="utf-8"?>
<sst xmlns="http://schemas.openxmlformats.org/spreadsheetml/2006/main" count="101" uniqueCount="83">
  <si>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</si>
  <si>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</si>
  <si>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</si>
  <si>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</si>
  <si>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</si>
  <si>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</si>
  <si>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</si>
  <si>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</si>
  <si>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</si>
  <si>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</si>
  <si>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</si>
  <si>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</si>
  <si>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</si>
  <si>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</si>
  <si>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</si>
  <si>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</si>
  <si>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</si>
  <si>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</si>
  <si>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</si>
  <si>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</si>
  <si>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</si>
  <si>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</si>
  <si>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</si>
  <si>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</si>
  <si>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</si>
  <si>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</si>
  <si>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</si>
  <si>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</si>
  <si>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</si>
  <si>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</si>
  <si>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</si>
  <si>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</si>
  <si>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</si>
  <si>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</si>
  <si>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</si>
  <si>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</si>
  <si>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</si>
  <si>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</si>
  <si>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</si>
  <si>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</si>
  <si>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</si>
  <si>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</si>
  <si>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</si>
  <si>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</si>
  <si>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</si>
  <si>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</si>
  <si>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</si>
  <si>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</si>
  <si>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</si>
  <si>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</si>
  <si>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</si>
  <si>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</si>
  <si>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</si>
  <si>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</si>
  <si>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</si>
  <si>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</si>
  <si>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</si>
  <si>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</si>
  <si>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</si>
  <si>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</si>
  <si>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Calibri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</si>
  <si>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</si>
  <si>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</si>
  <si>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</si>
  <si>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</si>
  <si>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</si>
  <si>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</si>
  <si>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</si>
  <si>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</si>
  <si>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</si>
  <si>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</si>
  <si>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</si>
  <si>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</si>
  <si>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</si>
  <si>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Calibri"/>
        <family val="2"/>
        <scheme val="minor"/>
      </rPr>
      <t>t:</t>
    </r>
    <phoneticPr fontId="8"/>
  </si>
  <si>
    <t>TP</t>
    <phoneticPr fontId="8"/>
  </si>
  <si>
    <t>Khối lượng ban đầu</t>
    <phoneticPr fontId="8"/>
  </si>
  <si>
    <t>Số Lệnh đánh</t>
    <phoneticPr fontId="8"/>
  </si>
  <si>
    <r>
      <t>G</t>
    </r>
    <r>
      <rPr>
        <sz val="11"/>
        <color theme="1"/>
        <rFont val="Arial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</t>
    </r>
    <phoneticPr fontId="7" type="noConversion"/>
  </si>
  <si>
    <t>TP L17</t>
  </si>
  <si>
    <t>TP L18</t>
  </si>
  <si>
    <t>TP L19</t>
  </si>
  <si>
    <t>TP L20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</si>
</sst>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;\-0;;\ @"/>
    <numFmt numFmtId="167" formatCode="0.00;\-0.00;;\ @"/>
    <numFmt numFmtId="168" formatCode="#,##0.000"/>
    <numFmt numFmtId="169" formatCode="#,##0.000_);\(#,##0.00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Arial"/>
      <family val="2"/>
      <charset val="163"/>
    </font>
    <font>
      <sz val="12"/>
      <color theme="4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FFFF00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1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68" fontId="3" fillId="0" borderId="11" xfId="2" applyNumberFormat="1" applyFont="1" applyBorder="1"/>
    <xf numFmtId="0" fontId="9" fillId="0" borderId="0" xfId="2" applyFont="1"/>
    <xf numFmtId="166" fontId="10" fillId="3" borderId="0" xfId="1" applyNumberFormat="1" applyFont="1" applyFill="1"/>
    <xf numFmtId="167" fontId="10" fillId="3" borderId="0" xfId="1" applyNumberFormat="1" applyFont="1" applyFill="1"/>
    <xf numFmtId="167" fontId="10" fillId="0" borderId="7" xfId="1" applyNumberFormat="1" applyFont="1" applyBorder="1"/>
    <xf numFmtId="166" fontId="10" fillId="0" borderId="8" xfId="1" applyNumberFormat="1" applyFont="1" applyBorder="1"/>
    <xf numFmtId="167" fontId="10" fillId="0" borderId="2" xfId="1" applyNumberFormat="1" applyFont="1" applyBorder="1"/>
    <xf numFmtId="166" fontId="9" fillId="0" borderId="0" xfId="2" applyNumberFormat="1" applyFont="1"/>
    <xf numFmtId="167" fontId="9" fillId="0" borderId="0" xfId="2" applyNumberFormat="1" applyFont="1"/>
    <xf numFmtId="4" fontId="11" fillId="10" borderId="0" xfId="0" applyNumberFormat="1" applyFont="1" applyFill="1" applyAlignment="1">
      <alignment horizontal="center" vertical="center"/>
    </xf>
    <xf numFmtId="4" fontId="11" fillId="13" borderId="11" xfId="0" applyNumberFormat="1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4" fontId="11" fillId="11" borderId="13" xfId="0" applyNumberFormat="1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/>
    </xf>
    <xf numFmtId="3" fontId="11" fillId="0" borderId="16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0" borderId="0" xfId="2" applyFont="1"/>
    <xf numFmtId="166" fontId="13" fillId="2" borderId="3" xfId="1" applyNumberFormat="1" applyFont="1" applyFill="1" applyBorder="1" applyAlignment="1">
      <alignment horizontal="center" vertical="center"/>
    </xf>
    <xf numFmtId="167" fontId="13" fillId="2" borderId="4" xfId="1" applyNumberFormat="1" applyFont="1" applyFill="1" applyBorder="1" applyAlignment="1">
      <alignment horizontal="center" vertical="center"/>
    </xf>
    <xf numFmtId="166" fontId="13" fillId="2" borderId="5" xfId="1" applyNumberFormat="1" applyFont="1" applyFill="1" applyBorder="1" applyAlignment="1">
      <alignment horizontal="center" vertical="center"/>
    </xf>
    <xf numFmtId="166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66" fontId="13" fillId="2" borderId="5" xfId="1" applyNumberFormat="1" applyFont="1" applyFill="1" applyBorder="1" applyAlignment="1">
      <alignment vertical="center"/>
    </xf>
    <xf numFmtId="0" fontId="17" fillId="0" borderId="0" xfId="2" applyFont="1"/>
    <xf numFmtId="0" fontId="11" fillId="4" borderId="9" xfId="2" applyFont="1" applyFill="1" applyBorder="1" applyAlignment="1">
      <alignment horizontal="center"/>
    </xf>
    <xf numFmtId="0" fontId="19" fillId="4" borderId="11" xfId="2" applyFont="1" applyFill="1" applyBorder="1" applyAlignment="1">
      <alignment horizontal="center" vertical="center"/>
    </xf>
    <xf numFmtId="4" fontId="19" fillId="0" borderId="11" xfId="2" applyNumberFormat="1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3" fontId="19" fillId="0" borderId="11" xfId="2" applyNumberFormat="1" applyFont="1" applyBorder="1"/>
    <xf numFmtId="0" fontId="19" fillId="15" borderId="11" xfId="2" applyFont="1" applyFill="1" applyBorder="1" applyAlignment="1">
      <alignment horizontal="center" vertical="center"/>
    </xf>
    <xf numFmtId="0" fontId="19" fillId="6" borderId="11" xfId="2" applyFont="1" applyFill="1" applyBorder="1" applyAlignment="1">
      <alignment horizontal="center"/>
    </xf>
    <xf numFmtId="4" fontId="19" fillId="5" borderId="11" xfId="2" applyNumberFormat="1" applyFont="1" applyFill="1" applyBorder="1" applyAlignment="1">
      <alignment horizontal="center"/>
    </xf>
    <xf numFmtId="0" fontId="19" fillId="0" borderId="11" xfId="2" applyFont="1" applyBorder="1" applyAlignment="1">
      <alignment horizontal="center"/>
    </xf>
    <xf numFmtId="3" fontId="20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6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4" fontId="19" fillId="17" borderId="11" xfId="2" applyNumberFormat="1" applyFont="1" applyFill="1" applyBorder="1" applyAlignment="1">
      <alignment horizontal="center" vertical="center"/>
    </xf>
    <xf numFmtId="164" fontId="15" fillId="0" borderId="11" xfId="3" applyNumberFormat="1" applyFont="1" applyBorder="1" applyAlignment="1">
      <alignment vertical="center"/>
    </xf>
    <xf numFmtId="43" fontId="15" fillId="0" borderId="11" xfId="3" applyFont="1" applyBorder="1" applyAlignment="1">
      <alignment vertical="center"/>
    </xf>
    <xf numFmtId="169" fontId="15" fillId="2" borderId="11" xfId="3" applyNumberFormat="1" applyFont="1" applyFill="1" applyBorder="1" applyAlignment="1">
      <alignment vertical="center"/>
    </xf>
    <xf numFmtId="0" fontId="14" fillId="0" borderId="20" xfId="1" applyFont="1" applyBorder="1"/>
    <xf numFmtId="0" fontId="14" fillId="0" borderId="21" xfId="1" applyFont="1" applyBorder="1"/>
    <xf numFmtId="166" fontId="9" fillId="0" borderId="19" xfId="2" applyNumberFormat="1" applyFont="1" applyBorder="1"/>
    <xf numFmtId="168" fontId="11" fillId="18" borderId="11" xfId="0" applyNumberFormat="1" applyFont="1" applyFill="1" applyBorder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4" fontId="11" fillId="12" borderId="11" xfId="0" applyNumberFormat="1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horizontal="center" vertical="center"/>
    </xf>
    <xf numFmtId="3" fontId="11" fillId="0" borderId="33" xfId="0" applyNumberFormat="1" applyFont="1" applyBorder="1" applyAlignment="1">
      <alignment horizontal="center" vertical="center"/>
    </xf>
    <xf numFmtId="4" fontId="12" fillId="14" borderId="11" xfId="0" applyNumberFormat="1" applyFont="1" applyFill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4" fontId="12" fillId="18" borderId="20" xfId="0" applyNumberFormat="1" applyFont="1" applyFill="1" applyBorder="1" applyAlignment="1">
      <alignment horizontal="center" vertical="center"/>
    </xf>
    <xf numFmtId="4" fontId="11" fillId="18" borderId="20" xfId="0" applyNumberFormat="1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1" xfId="0" applyFont="1" applyFill="1" applyBorder="1" applyAlignment="1">
      <alignment horizontal="center" vertical="center"/>
    </xf>
    <xf numFmtId="4" fontId="11" fillId="16" borderId="24" xfId="0" applyNumberFormat="1" applyFont="1" applyFill="1" applyBorder="1" applyAlignment="1">
      <alignment horizontal="center" vertical="center"/>
    </xf>
    <xf numFmtId="4" fontId="11" fillId="16" borderId="20" xfId="0" applyNumberFormat="1" applyFont="1" applyFill="1" applyBorder="1" applyAlignment="1">
      <alignment horizontal="center" vertical="center"/>
    </xf>
    <xf numFmtId="4" fontId="11" fillId="19" borderId="11" xfId="0" applyNumberFormat="1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16" borderId="19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19" borderId="25" xfId="0" applyNumberFormat="1" applyFont="1" applyFill="1" applyBorder="1" applyAlignment="1">
      <alignment horizontal="center" vertical="center"/>
    </xf>
    <xf numFmtId="3" fontId="11" fillId="19" borderId="26" xfId="0" applyNumberFormat="1" applyFont="1" applyFill="1" applyBorder="1" applyAlignment="1">
      <alignment horizontal="center" vertical="center"/>
    </xf>
    <xf numFmtId="3" fontId="11" fillId="19" borderId="27" xfId="0" applyNumberFormat="1" applyFont="1" applyFill="1" applyBorder="1" applyAlignment="1">
      <alignment horizontal="center" vertical="center"/>
    </xf>
    <xf numFmtId="3" fontId="11" fillId="19" borderId="28" xfId="0" applyNumberFormat="1" applyFont="1" applyFill="1" applyBorder="1" applyAlignment="1">
      <alignment horizontal="center" vertical="center"/>
    </xf>
    <xf numFmtId="3" fontId="11" fillId="19" borderId="15" xfId="0" applyNumberFormat="1" applyFont="1" applyFill="1" applyBorder="1" applyAlignment="1">
      <alignment horizontal="center" vertical="center"/>
    </xf>
    <xf numFmtId="3" fontId="11" fillId="19" borderId="29" xfId="0" applyNumberFormat="1" applyFont="1" applyFill="1" applyBorder="1" applyAlignment="1">
      <alignment horizontal="center" vertical="center"/>
    </xf>
    <xf numFmtId="3" fontId="11" fillId="19" borderId="30" xfId="0" applyNumberFormat="1" applyFont="1" applyFill="1" applyBorder="1" applyAlignment="1">
      <alignment horizontal="center" vertical="center"/>
    </xf>
    <xf numFmtId="3" fontId="11" fillId="19" borderId="16" xfId="0" applyNumberFormat="1" applyFont="1" applyFill="1" applyBorder="1" applyAlignment="1">
      <alignment horizontal="center" vertical="center"/>
    </xf>
    <xf numFmtId="3" fontId="11" fillId="19" borderId="31" xfId="0" applyNumberFormat="1" applyFont="1" applyFill="1" applyBorder="1" applyAlignment="1">
      <alignment horizontal="center" vertical="center"/>
    </xf>
    <xf numFmtId="3" fontId="11" fillId="16" borderId="15" xfId="0" applyNumberFormat="1" applyFont="1" applyFill="1" applyBorder="1" applyAlignment="1">
      <alignment horizontal="center" vertical="center"/>
    </xf>
    <xf numFmtId="3" fontId="11" fillId="16" borderId="34" xfId="0" applyNumberFormat="1" applyFont="1" applyFill="1" applyBorder="1" applyAlignment="1">
      <alignment horizontal="center" vertical="center"/>
    </xf>
    <xf numFmtId="3" fontId="11" fillId="16" borderId="11" xfId="0" applyNumberFormat="1" applyFont="1" applyFill="1" applyBorder="1" applyAlignment="1">
      <alignment horizontal="center" vertical="center"/>
    </xf>
    <xf numFmtId="3" fontId="11" fillId="18" borderId="19" xfId="0" applyNumberFormat="1" applyFont="1" applyFill="1" applyBorder="1" applyAlignment="1">
      <alignment horizontal="center" vertical="center"/>
    </xf>
    <xf numFmtId="3" fontId="11" fillId="18" borderId="11" xfId="0" applyNumberFormat="1" applyFont="1" applyFill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18" borderId="20" xfId="0" applyNumberFormat="1" applyFont="1" applyFill="1" applyBorder="1" applyAlignment="1">
      <alignment horizontal="center" vertical="center"/>
    </xf>
    <xf numFmtId="3" fontId="11" fillId="16" borderId="25" xfId="0" applyNumberFormat="1" applyFont="1" applyFill="1" applyBorder="1" applyAlignment="1">
      <alignment horizontal="center" vertical="center"/>
    </xf>
    <xf numFmtId="169" fontId="18" fillId="20" borderId="10" xfId="2" applyNumberFormat="1" applyFont="1" applyFill="1" applyBorder="1" applyAlignment="1">
      <alignment horizontal="center" vertical="center"/>
    </xf>
    <xf numFmtId="37" fontId="18" fillId="20" borderId="9" xfId="2" applyNumberFormat="1" applyFont="1" applyFill="1" applyBorder="1" applyAlignment="1">
      <alignment horizontal="center" vertical="center"/>
    </xf>
    <xf numFmtId="164" fontId="15" fillId="2" borderId="11" xfId="3" applyNumberFormat="1" applyFont="1" applyFill="1" applyBorder="1" applyAlignment="1">
      <alignment vertical="center"/>
    </xf>
    <xf numFmtId="165" fontId="15" fillId="2" borderId="11" xfId="3" applyNumberFormat="1" applyFont="1" applyFill="1" applyBorder="1" applyAlignment="1">
      <alignment vertical="center"/>
    </xf>
    <xf numFmtId="3" fontId="29" fillId="0" borderId="11" xfId="2" applyNumberFormat="1" applyFont="1" applyBorder="1" applyAlignment="1">
      <alignment horizontal="right"/>
    </xf>
    <xf numFmtId="1" fontId="12" fillId="0" borderId="11" xfId="0" applyNumberFormat="1" applyFont="1" applyBorder="1" applyAlignment="1">
      <alignment horizontal="center" vertical="center"/>
    </xf>
    <xf numFmtId="4" fontId="13" fillId="2" borderId="3" xfId="1" applyNumberFormat="1" applyFont="1" applyFill="1" applyBorder="1" applyAlignment="1">
      <alignment vertical="center"/>
    </xf>
    <xf numFmtId="4" fontId="13" fillId="2" borderId="4" xfId="1" applyNumberFormat="1" applyFont="1" applyFill="1" applyBorder="1" applyAlignment="1">
      <alignment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4" fontId="23" fillId="7" borderId="11" xfId="4" applyNumberFormat="1" applyFont="1" applyBorder="1" applyAlignment="1">
      <alignment horizontal="center"/>
    </xf>
    <xf numFmtId="0" fontId="24" fillId="8" borderId="11" xfId="5" applyFont="1" applyBorder="1" applyAlignment="1">
      <alignment horizontal="center"/>
    </xf>
    <xf numFmtId="4" fontId="25" fillId="9" borderId="11" xfId="6" applyNumberFormat="1" applyFont="1" applyBorder="1" applyAlignment="1">
      <alignment horizontal="center"/>
    </xf>
    <xf numFmtId="0" fontId="21" fillId="0" borderId="11" xfId="1" applyFont="1" applyBorder="1" applyAlignment="1">
      <alignment horizont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="85" zoomScaleNormal="85" workbookViewId="0">
      <selection activeCell="T3" sqref="T3"/>
    </sheetView>
  </sheetViews>
  <sheetFormatPr defaultColWidth="9.109375" defaultRowHeight="13.2"/>
  <cols>
    <col min="1" max="1" width="14.6640625" style="11" customWidth="1"/>
    <col min="2" max="2" width="14.6640625" style="12" customWidth="1"/>
    <col min="3" max="4" width="14.6640625" style="11" customWidth="1"/>
    <col min="5" max="6" width="9.109375" style="5"/>
    <col min="7" max="7" width="19" style="5" customWidth="1"/>
    <col min="8" max="24" width="10.5546875" style="5" customWidth="1"/>
    <col min="25" max="25" width="10.88671875" style="5" bestFit="1" customWidth="1"/>
    <col min="26" max="16384" width="9.109375" style="5"/>
  </cols>
  <sheetData>
    <row r="1" spans="1:28" ht="16.8">
      <c r="A1" s="107" t="s">
        <v>0</v>
      </c>
      <c r="B1" s="108"/>
      <c r="C1" s="108"/>
      <c r="D1" s="108"/>
    </row>
    <row r="2" spans="1:28" ht="25.2">
      <c r="A2" s="49" t="s">
        <v>1</v>
      </c>
      <c r="B2" s="50"/>
      <c r="C2" s="51"/>
      <c r="D2" s="101">
        <v>2</v>
      </c>
      <c r="H2" s="43"/>
      <c r="I2" s="43"/>
      <c r="J2" s="112" t="s">
        <v>51</v>
      </c>
      <c r="K2" s="112"/>
      <c r="L2" s="112" t="s">
        <v>52</v>
      </c>
      <c r="M2" s="112"/>
      <c r="N2" s="112" t="s">
        <v>53</v>
      </c>
      <c r="O2" s="112"/>
      <c r="P2" s="112"/>
      <c r="Q2" s="43"/>
      <c r="R2" s="43"/>
      <c r="S2" s="43"/>
      <c r="T2" s="43"/>
      <c r="U2" s="43"/>
      <c r="V2" s="43"/>
      <c r="W2" s="43"/>
      <c r="X2" s="43"/>
    </row>
    <row r="3" spans="1:28" ht="16.8">
      <c r="A3" s="49" t="s">
        <v>2</v>
      </c>
      <c r="B3" s="50"/>
      <c r="C3" s="51"/>
      <c r="D3" s="46">
        <f>D2</f>
        <v>2</v>
      </c>
      <c r="G3" s="30"/>
      <c r="H3" s="23"/>
      <c r="I3" s="23"/>
      <c r="J3" s="109">
        <f>SUM('Bảng Input L30'!B13:B37)</f>
        <v>244.65446578390544</v>
      </c>
      <c r="K3" s="109"/>
      <c r="L3" s="110">
        <f>J3*91</f>
        <v>22263.556386335396</v>
      </c>
      <c r="M3" s="110"/>
      <c r="N3" s="111">
        <f ca="1">L3+'Bảng Input L30'!C35</f>
        <v>62630.484540361416</v>
      </c>
      <c r="O3" s="111"/>
      <c r="P3" s="111"/>
      <c r="Q3" s="23"/>
      <c r="R3" s="23"/>
      <c r="S3" s="23"/>
      <c r="T3" s="23"/>
      <c r="U3" s="23"/>
      <c r="V3" s="23"/>
      <c r="W3" s="23"/>
      <c r="X3" s="23"/>
    </row>
    <row r="4" spans="1:28" ht="18.600000000000001">
      <c r="A4" s="49" t="s">
        <v>3</v>
      </c>
      <c r="B4" s="50"/>
      <c r="C4" s="51"/>
      <c r="D4" s="46">
        <f>D3</f>
        <v>2</v>
      </c>
      <c r="G4" s="31" t="s">
        <v>14</v>
      </c>
      <c r="H4" s="99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8" ht="18.600000000000001">
      <c r="A5" s="49" t="s">
        <v>4</v>
      </c>
      <c r="B5" s="50"/>
      <c r="C5" s="51"/>
      <c r="D5" s="46">
        <f>D4</f>
        <v>2</v>
      </c>
      <c r="G5" s="31" t="s">
        <v>57</v>
      </c>
      <c r="H5" s="100">
        <f>D2</f>
        <v>2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20.399999999999999">
      <c r="A6" s="49" t="s">
        <v>5</v>
      </c>
      <c r="B6" s="50"/>
      <c r="C6" s="51"/>
      <c r="D6" s="46">
        <f>D5</f>
        <v>2</v>
      </c>
      <c r="G6" s="31" t="s">
        <v>75</v>
      </c>
      <c r="H6" s="100">
        <v>6</v>
      </c>
      <c r="N6" s="44" t="s">
        <v>13</v>
      </c>
    </row>
    <row r="7" spans="1:28" ht="16.8">
      <c r="A7" s="49" t="s">
        <v>6</v>
      </c>
      <c r="B7" s="50"/>
      <c r="C7" s="51"/>
      <c r="D7" s="46">
        <f>D6</f>
        <v>2</v>
      </c>
      <c r="G7" s="1"/>
      <c r="H7" s="1"/>
      <c r="I7" s="41">
        <v>2200</v>
      </c>
      <c r="J7" s="41">
        <f>I7-H$5</f>
        <v>2198</v>
      </c>
      <c r="K7" s="41">
        <f t="shared" ref="K7:X7" si="0">J7-$H$5</f>
        <v>2196</v>
      </c>
      <c r="L7" s="41">
        <f t="shared" si="0"/>
        <v>2194</v>
      </c>
      <c r="M7" s="41">
        <f t="shared" si="0"/>
        <v>2192</v>
      </c>
      <c r="N7" s="41">
        <f t="shared" si="0"/>
        <v>2190</v>
      </c>
      <c r="O7" s="41">
        <f t="shared" si="0"/>
        <v>2188</v>
      </c>
      <c r="P7" s="41">
        <f t="shared" si="0"/>
        <v>2186</v>
      </c>
      <c r="Q7" s="41">
        <f t="shared" si="0"/>
        <v>2184</v>
      </c>
      <c r="R7" s="41">
        <f t="shared" si="0"/>
        <v>2182</v>
      </c>
      <c r="S7" s="41">
        <f t="shared" si="0"/>
        <v>2180</v>
      </c>
      <c r="T7" s="41">
        <f t="shared" si="0"/>
        <v>2178</v>
      </c>
      <c r="U7" s="41">
        <f t="shared" si="0"/>
        <v>2176</v>
      </c>
      <c r="V7" s="41">
        <f t="shared" si="0"/>
        <v>2174</v>
      </c>
      <c r="W7" s="41">
        <f t="shared" si="0"/>
        <v>2172</v>
      </c>
      <c r="X7" s="41">
        <f t="shared" si="0"/>
        <v>2170</v>
      </c>
      <c r="Y7" s="41">
        <f t="shared" ref="Y7" si="1">X7-$H$5</f>
        <v>2168</v>
      </c>
      <c r="Z7" s="41">
        <f t="shared" ref="Z7" si="2">Y7-$H$5</f>
        <v>2166</v>
      </c>
      <c r="AA7" s="41">
        <f t="shared" ref="AA7" si="3">Z7-$H$5</f>
        <v>2164</v>
      </c>
      <c r="AB7" s="41">
        <f t="shared" ref="AB7" si="4">AA7-$H$5</f>
        <v>2162</v>
      </c>
    </row>
    <row r="8" spans="1:28" ht="16.8">
      <c r="A8" s="49" t="s">
        <v>76</v>
      </c>
      <c r="B8" s="50"/>
      <c r="C8" s="51"/>
      <c r="D8" s="47">
        <v>0.01</v>
      </c>
      <c r="G8" s="1"/>
      <c r="H8" s="1"/>
      <c r="I8" s="41">
        <v>0</v>
      </c>
      <c r="J8" s="41">
        <f t="shared" ref="J8:X8" si="5">$I$7-J7</f>
        <v>2</v>
      </c>
      <c r="K8" s="41">
        <f t="shared" si="5"/>
        <v>4</v>
      </c>
      <c r="L8" s="41">
        <f t="shared" si="5"/>
        <v>6</v>
      </c>
      <c r="M8" s="41">
        <f t="shared" si="5"/>
        <v>8</v>
      </c>
      <c r="N8" s="41">
        <f t="shared" si="5"/>
        <v>10</v>
      </c>
      <c r="O8" s="41">
        <f t="shared" si="5"/>
        <v>12</v>
      </c>
      <c r="P8" s="41">
        <f t="shared" si="5"/>
        <v>14</v>
      </c>
      <c r="Q8" s="41">
        <f t="shared" si="5"/>
        <v>16</v>
      </c>
      <c r="R8" s="41">
        <f t="shared" si="5"/>
        <v>18</v>
      </c>
      <c r="S8" s="41">
        <f t="shared" si="5"/>
        <v>20</v>
      </c>
      <c r="T8" s="41">
        <f t="shared" si="5"/>
        <v>22</v>
      </c>
      <c r="U8" s="41">
        <f t="shared" si="5"/>
        <v>24</v>
      </c>
      <c r="V8" s="41">
        <f t="shared" si="5"/>
        <v>26</v>
      </c>
      <c r="W8" s="41">
        <f t="shared" si="5"/>
        <v>28</v>
      </c>
      <c r="X8" s="41">
        <f t="shared" si="5"/>
        <v>30</v>
      </c>
      <c r="Y8" s="41">
        <f t="shared" ref="Y8:AB8" si="6">$I$7-Y7</f>
        <v>32</v>
      </c>
      <c r="Z8" s="41">
        <f t="shared" si="6"/>
        <v>34</v>
      </c>
      <c r="AA8" s="41">
        <f t="shared" si="6"/>
        <v>36</v>
      </c>
      <c r="AB8" s="41">
        <f t="shared" si="6"/>
        <v>38</v>
      </c>
    </row>
    <row r="9" spans="1:28" ht="16.8">
      <c r="A9" s="49" t="s">
        <v>7</v>
      </c>
      <c r="B9" s="50"/>
      <c r="C9" s="51"/>
      <c r="D9" s="48">
        <v>1.6180000000000001</v>
      </c>
      <c r="G9" s="32" t="s">
        <v>17</v>
      </c>
      <c r="H9" s="32" t="s">
        <v>56</v>
      </c>
      <c r="I9" s="32" t="s">
        <v>19</v>
      </c>
      <c r="J9" s="32" t="s">
        <v>20</v>
      </c>
      <c r="K9" s="32" t="s">
        <v>21</v>
      </c>
      <c r="L9" s="32" t="s">
        <v>22</v>
      </c>
      <c r="M9" s="32" t="s">
        <v>23</v>
      </c>
      <c r="N9" s="32" t="s">
        <v>24</v>
      </c>
      <c r="O9" s="32" t="s">
        <v>25</v>
      </c>
      <c r="P9" s="32" t="s">
        <v>26</v>
      </c>
      <c r="Q9" s="32" t="s">
        <v>27</v>
      </c>
      <c r="R9" s="32" t="s">
        <v>28</v>
      </c>
      <c r="S9" s="32" t="s">
        <v>29</v>
      </c>
      <c r="T9" s="32" t="s">
        <v>30</v>
      </c>
      <c r="U9" s="32" t="s">
        <v>31</v>
      </c>
      <c r="V9" s="32" t="s">
        <v>32</v>
      </c>
      <c r="W9" s="32" t="s">
        <v>33</v>
      </c>
      <c r="X9" s="32" t="s">
        <v>34</v>
      </c>
      <c r="Y9" s="32" t="s">
        <v>79</v>
      </c>
      <c r="Z9" s="32" t="s">
        <v>80</v>
      </c>
      <c r="AA9" s="32" t="s">
        <v>81</v>
      </c>
      <c r="AB9" s="32" t="s">
        <v>82</v>
      </c>
    </row>
    <row r="10" spans="1:28" ht="16.8">
      <c r="A10" s="49" t="s">
        <v>77</v>
      </c>
      <c r="B10" s="50"/>
      <c r="C10" s="51"/>
      <c r="D10" s="102">
        <v>20</v>
      </c>
      <c r="G10" s="36" t="s">
        <v>55</v>
      </c>
      <c r="H10" s="32" t="s">
        <v>18</v>
      </c>
      <c r="I10" s="32">
        <v>1</v>
      </c>
      <c r="J10" s="32">
        <v>2</v>
      </c>
      <c r="K10" s="32">
        <v>3</v>
      </c>
      <c r="L10" s="32">
        <v>4</v>
      </c>
      <c r="M10" s="32">
        <v>5</v>
      </c>
      <c r="N10" s="32">
        <v>6</v>
      </c>
      <c r="O10" s="32">
        <v>7</v>
      </c>
      <c r="P10" s="32">
        <v>8</v>
      </c>
      <c r="Q10" s="32">
        <v>9</v>
      </c>
      <c r="R10" s="32">
        <v>10</v>
      </c>
      <c r="S10" s="32">
        <v>11</v>
      </c>
      <c r="T10" s="32">
        <v>12</v>
      </c>
      <c r="U10" s="32">
        <v>13</v>
      </c>
      <c r="V10" s="32">
        <v>14</v>
      </c>
      <c r="W10" s="32">
        <v>15</v>
      </c>
      <c r="X10" s="32">
        <v>16</v>
      </c>
      <c r="Y10" s="32">
        <v>17</v>
      </c>
      <c r="Z10" s="32">
        <v>18</v>
      </c>
      <c r="AA10" s="32">
        <v>19</v>
      </c>
      <c r="AB10" s="32">
        <v>20</v>
      </c>
    </row>
    <row r="11" spans="1:28" ht="17.399999999999999" thickBot="1">
      <c r="A11" s="6"/>
      <c r="B11" s="7"/>
      <c r="C11" s="6"/>
      <c r="D11" s="6"/>
      <c r="G11" s="37">
        <v>1</v>
      </c>
      <c r="H11" s="38">
        <f>'Bảng Input L30'!B13</f>
        <v>0.01</v>
      </c>
      <c r="I11" s="34">
        <f>H11*H6*100</f>
        <v>6</v>
      </c>
      <c r="J11" s="34">
        <f>H11*100*(H6-H5)</f>
        <v>4</v>
      </c>
      <c r="K11" s="34">
        <f t="shared" ref="K11:AB11" si="7">$H$11*100*($H$6-$H$5*J10)</f>
        <v>2</v>
      </c>
      <c r="L11" s="34">
        <f t="shared" si="7"/>
        <v>0</v>
      </c>
      <c r="M11" s="34">
        <f>$H$11*100*($H$6-$H$5*L10)</f>
        <v>-2</v>
      </c>
      <c r="N11" s="34">
        <f t="shared" si="7"/>
        <v>-4</v>
      </c>
      <c r="O11" s="34">
        <f t="shared" si="7"/>
        <v>-6</v>
      </c>
      <c r="P11" s="34">
        <f t="shared" si="7"/>
        <v>-8</v>
      </c>
      <c r="Q11" s="34">
        <f t="shared" si="7"/>
        <v>-10</v>
      </c>
      <c r="R11" s="34">
        <f t="shared" si="7"/>
        <v>-12</v>
      </c>
      <c r="S11" s="34">
        <f t="shared" si="7"/>
        <v>-14</v>
      </c>
      <c r="T11" s="34">
        <f t="shared" si="7"/>
        <v>-16</v>
      </c>
      <c r="U11" s="34">
        <f t="shared" si="7"/>
        <v>-18</v>
      </c>
      <c r="V11" s="34">
        <f t="shared" si="7"/>
        <v>-20</v>
      </c>
      <c r="W11" s="34">
        <f t="shared" si="7"/>
        <v>-22</v>
      </c>
      <c r="X11" s="34">
        <f t="shared" si="7"/>
        <v>-24</v>
      </c>
      <c r="Y11" s="34">
        <f t="shared" si="7"/>
        <v>-26</v>
      </c>
      <c r="Z11" s="34">
        <f t="shared" si="7"/>
        <v>-28</v>
      </c>
      <c r="AA11" s="34">
        <f t="shared" si="7"/>
        <v>-30</v>
      </c>
      <c r="AB11" s="34">
        <f t="shared" si="7"/>
        <v>-32</v>
      </c>
    </row>
    <row r="12" spans="1:28" ht="18" thickTop="1" thickBot="1">
      <c r="A12" s="24" t="s">
        <v>8</v>
      </c>
      <c r="B12" s="25" t="s">
        <v>9</v>
      </c>
      <c r="C12" s="26" t="s">
        <v>10</v>
      </c>
      <c r="D12" s="26" t="s">
        <v>11</v>
      </c>
      <c r="G12" s="37">
        <v>2</v>
      </c>
      <c r="H12" s="33">
        <f t="shared" ref="H12:H30" si="8">H11*$H$4</f>
        <v>1.618E-2</v>
      </c>
      <c r="I12" s="3"/>
      <c r="J12" s="34">
        <f>H12*100*H6</f>
        <v>9.7079999999999984</v>
      </c>
      <c r="K12" s="34">
        <f>H12*100*(H6-H5)</f>
        <v>6.4719999999999995</v>
      </c>
      <c r="L12" s="34">
        <f t="shared" ref="L12:AB12" si="9">$H$12*100*($H$6-$H$5*J10)</f>
        <v>3.2359999999999998</v>
      </c>
      <c r="M12" s="34">
        <f t="shared" si="9"/>
        <v>0</v>
      </c>
      <c r="N12" s="34">
        <f t="shared" si="9"/>
        <v>-3.2359999999999998</v>
      </c>
      <c r="O12" s="34">
        <f t="shared" si="9"/>
        <v>-6.4719999999999995</v>
      </c>
      <c r="P12" s="34">
        <f t="shared" si="9"/>
        <v>-9.7079999999999984</v>
      </c>
      <c r="Q12" s="34">
        <f t="shared" si="9"/>
        <v>-12.943999999999999</v>
      </c>
      <c r="R12" s="34">
        <f t="shared" si="9"/>
        <v>-16.18</v>
      </c>
      <c r="S12" s="34">
        <f t="shared" si="9"/>
        <v>-19.415999999999997</v>
      </c>
      <c r="T12" s="34">
        <f t="shared" si="9"/>
        <v>-22.651999999999997</v>
      </c>
      <c r="U12" s="34">
        <f t="shared" si="9"/>
        <v>-25.887999999999998</v>
      </c>
      <c r="V12" s="34">
        <f t="shared" si="9"/>
        <v>-29.123999999999999</v>
      </c>
      <c r="W12" s="34">
        <f t="shared" si="9"/>
        <v>-32.36</v>
      </c>
      <c r="X12" s="34">
        <f t="shared" si="9"/>
        <v>-35.595999999999997</v>
      </c>
      <c r="Y12" s="34">
        <f t="shared" si="9"/>
        <v>-38.831999999999994</v>
      </c>
      <c r="Z12" s="34">
        <f t="shared" si="9"/>
        <v>-42.067999999999998</v>
      </c>
      <c r="AA12" s="34">
        <f t="shared" si="9"/>
        <v>-45.303999999999995</v>
      </c>
      <c r="AB12" s="34">
        <f t="shared" si="9"/>
        <v>-48.54</v>
      </c>
    </row>
    <row r="13" spans="1:28" ht="17.399999999999999" thickTop="1">
      <c r="A13" s="27" t="str">
        <f>IF($D$10&gt;0,"L1",0)</f>
        <v>L1</v>
      </c>
      <c r="B13" s="8">
        <f>+D8</f>
        <v>0.01</v>
      </c>
      <c r="C13" s="9">
        <f>+B13*D13*100</f>
        <v>38</v>
      </c>
      <c r="D13" s="9">
        <f>IF(A13=0,0,$D$2+$D$3+$D$4+$D$5+$D$6+($D$7*($D$10-6)))</f>
        <v>38</v>
      </c>
      <c r="G13" s="37">
        <v>3</v>
      </c>
      <c r="H13" s="33">
        <f t="shared" si="8"/>
        <v>2.6179240000000003E-2</v>
      </c>
      <c r="I13" s="3"/>
      <c r="J13" s="3"/>
      <c r="K13" s="34">
        <f>H13*100*H6</f>
        <v>15.707544000000002</v>
      </c>
      <c r="L13" s="34">
        <f>H13*100*(H6-H5)</f>
        <v>10.471696000000001</v>
      </c>
      <c r="M13" s="34">
        <f t="shared" ref="M13:AB13" si="10">$H$13*100*($H$6-$H$5*J10)</f>
        <v>5.2358480000000007</v>
      </c>
      <c r="N13" s="34">
        <f t="shared" si="10"/>
        <v>0</v>
      </c>
      <c r="O13" s="34">
        <f t="shared" si="10"/>
        <v>-5.2358480000000007</v>
      </c>
      <c r="P13" s="34">
        <f t="shared" si="10"/>
        <v>-10.471696000000001</v>
      </c>
      <c r="Q13" s="34">
        <f t="shared" si="10"/>
        <v>-15.707544000000002</v>
      </c>
      <c r="R13" s="34">
        <f t="shared" si="10"/>
        <v>-20.943392000000003</v>
      </c>
      <c r="S13" s="34">
        <f t="shared" si="10"/>
        <v>-26.179240000000004</v>
      </c>
      <c r="T13" s="34">
        <f t="shared" si="10"/>
        <v>-31.415088000000004</v>
      </c>
      <c r="U13" s="34">
        <f t="shared" si="10"/>
        <v>-36.650936000000002</v>
      </c>
      <c r="V13" s="34">
        <f t="shared" si="10"/>
        <v>-41.886784000000006</v>
      </c>
      <c r="W13" s="34">
        <f t="shared" si="10"/>
        <v>-47.12263200000001</v>
      </c>
      <c r="X13" s="34">
        <f t="shared" si="10"/>
        <v>-52.358480000000007</v>
      </c>
      <c r="Y13" s="34">
        <f t="shared" si="10"/>
        <v>-57.594328000000004</v>
      </c>
      <c r="Z13" s="34">
        <f t="shared" si="10"/>
        <v>-62.830176000000009</v>
      </c>
      <c r="AA13" s="34">
        <f t="shared" si="10"/>
        <v>-68.066024000000013</v>
      </c>
      <c r="AB13" s="34">
        <f t="shared" si="10"/>
        <v>-73.301872000000003</v>
      </c>
    </row>
    <row r="14" spans="1:28" ht="16.8">
      <c r="A14" s="27" t="str">
        <f t="shared" ref="A14:A34" si="11">IF(A13=0,0,IF(VALUE(MID(A13,2,2))&gt;=$D$10,0,"L"&amp;VALUE(MID(A13,2,2))+1))</f>
        <v>L2</v>
      </c>
      <c r="B14" s="10">
        <f t="shared" ref="B14:B34" si="12">IF(A14&lt;&gt;0,B13*$D$9,0)</f>
        <v>1.618E-2</v>
      </c>
      <c r="C14" s="9">
        <f t="shared" ref="C14:C34" si="13">+B14*D14*100</f>
        <v>58.247999999999998</v>
      </c>
      <c r="D14" s="9">
        <f>IF(A14=0,0,$D$3+$D$4+$D$5+$D$6+($D$7*($D$10-6)))</f>
        <v>36</v>
      </c>
      <c r="G14" s="37">
        <v>4</v>
      </c>
      <c r="H14" s="33">
        <f t="shared" si="8"/>
        <v>4.2358010320000007E-2</v>
      </c>
      <c r="I14" s="3"/>
      <c r="J14" s="3"/>
      <c r="K14" s="3"/>
      <c r="L14" s="34">
        <f>H14*100*H6</f>
        <v>25.414806192</v>
      </c>
      <c r="M14" s="34">
        <f>H14*100*(H6-H5)</f>
        <v>16.943204128000001</v>
      </c>
      <c r="N14" s="34">
        <f t="shared" ref="N14:AB14" si="14">$H$14*100*($H$6-$H$5*J10)</f>
        <v>8.4716020640000007</v>
      </c>
      <c r="O14" s="34">
        <f t="shared" si="14"/>
        <v>0</v>
      </c>
      <c r="P14" s="34">
        <f t="shared" si="14"/>
        <v>-8.4716020640000007</v>
      </c>
      <c r="Q14" s="34">
        <f t="shared" si="14"/>
        <v>-16.943204128000001</v>
      </c>
      <c r="R14" s="34">
        <f t="shared" si="14"/>
        <v>-25.414806192</v>
      </c>
      <c r="S14" s="34">
        <f t="shared" si="14"/>
        <v>-33.886408256000003</v>
      </c>
      <c r="T14" s="34">
        <f t="shared" si="14"/>
        <v>-42.358010320000005</v>
      </c>
      <c r="U14" s="34">
        <f t="shared" si="14"/>
        <v>-50.829612384000001</v>
      </c>
      <c r="V14" s="34">
        <f t="shared" si="14"/>
        <v>-59.301214448000003</v>
      </c>
      <c r="W14" s="34">
        <f t="shared" si="14"/>
        <v>-67.772816512000006</v>
      </c>
      <c r="X14" s="34">
        <f t="shared" si="14"/>
        <v>-76.244418576000001</v>
      </c>
      <c r="Y14" s="34">
        <f t="shared" si="14"/>
        <v>-84.716020640000011</v>
      </c>
      <c r="Z14" s="34">
        <f t="shared" si="14"/>
        <v>-93.187622704000006</v>
      </c>
      <c r="AA14" s="34">
        <f t="shared" si="14"/>
        <v>-101.659224768</v>
      </c>
      <c r="AB14" s="34">
        <f t="shared" si="14"/>
        <v>-110.13082683200001</v>
      </c>
    </row>
    <row r="15" spans="1:28" ht="16.8">
      <c r="A15" s="27" t="str">
        <f t="shared" si="11"/>
        <v>L3</v>
      </c>
      <c r="B15" s="10">
        <f t="shared" si="12"/>
        <v>2.6179240000000003E-2</v>
      </c>
      <c r="C15" s="9">
        <f t="shared" si="13"/>
        <v>89.009416000000002</v>
      </c>
      <c r="D15" s="9">
        <f>IF(A15=0,0,$D$4+$D$5+$D$6+($D$7*($D$10-6)))</f>
        <v>34</v>
      </c>
      <c r="G15" s="37">
        <v>5</v>
      </c>
      <c r="H15" s="33">
        <f t="shared" si="8"/>
        <v>6.8535260697760017E-2</v>
      </c>
      <c r="I15" s="4"/>
      <c r="J15" s="3"/>
      <c r="K15" s="3"/>
      <c r="L15" s="3"/>
      <c r="M15" s="34">
        <f>H15*H6*100</f>
        <v>41.121156418656014</v>
      </c>
      <c r="N15" s="34">
        <f>H15*100*(H6-H5)</f>
        <v>27.414104279104006</v>
      </c>
      <c r="O15" s="34">
        <f t="shared" ref="O15:AB15" si="15">$H$15*100*($H$6-$H$5*J10)</f>
        <v>13.707052139552003</v>
      </c>
      <c r="P15" s="34">
        <f t="shared" si="15"/>
        <v>0</v>
      </c>
      <c r="Q15" s="34">
        <f t="shared" si="15"/>
        <v>-13.707052139552003</v>
      </c>
      <c r="R15" s="34">
        <f t="shared" si="15"/>
        <v>-27.414104279104006</v>
      </c>
      <c r="S15" s="34">
        <f t="shared" si="15"/>
        <v>-41.121156418656007</v>
      </c>
      <c r="T15" s="34">
        <f t="shared" si="15"/>
        <v>-54.828208558208011</v>
      </c>
      <c r="U15" s="34">
        <f t="shared" si="15"/>
        <v>-68.535260697760009</v>
      </c>
      <c r="V15" s="34">
        <f t="shared" si="15"/>
        <v>-82.242312837312014</v>
      </c>
      <c r="W15" s="34">
        <f t="shared" si="15"/>
        <v>-95.949364976864018</v>
      </c>
      <c r="X15" s="34">
        <f t="shared" si="15"/>
        <v>-109.65641711641602</v>
      </c>
      <c r="Y15" s="34">
        <f t="shared" si="15"/>
        <v>-123.36346925596803</v>
      </c>
      <c r="Z15" s="34">
        <f t="shared" si="15"/>
        <v>-137.07052139552002</v>
      </c>
      <c r="AA15" s="34">
        <f t="shared" si="15"/>
        <v>-150.77757353507204</v>
      </c>
      <c r="AB15" s="34">
        <f t="shared" si="15"/>
        <v>-164.48462567462403</v>
      </c>
    </row>
    <row r="16" spans="1:28" ht="16.8">
      <c r="A16" s="27" t="str">
        <f t="shared" si="11"/>
        <v>L4</v>
      </c>
      <c r="B16" s="10">
        <f t="shared" si="12"/>
        <v>4.2358010320000007E-2</v>
      </c>
      <c r="C16" s="9">
        <f t="shared" si="13"/>
        <v>135.54563302400001</v>
      </c>
      <c r="D16" s="9">
        <f>IF(A16=0,0,$D$5+$D$6+($D$7*($D$10-6)))</f>
        <v>32</v>
      </c>
      <c r="G16" s="37">
        <v>6</v>
      </c>
      <c r="H16" s="33">
        <f t="shared" si="8"/>
        <v>0.11089005180897571</v>
      </c>
      <c r="I16" s="3"/>
      <c r="J16" s="3"/>
      <c r="K16" s="3"/>
      <c r="L16" s="3"/>
      <c r="M16" s="3"/>
      <c r="N16" s="34">
        <f>H16*H6*100</f>
        <v>66.534031085385422</v>
      </c>
      <c r="O16" s="34">
        <f>H16*100*(H6-H5)</f>
        <v>44.356020723590284</v>
      </c>
      <c r="P16" s="34">
        <f t="shared" ref="P16:X16" si="16">$H$16*100*($H$6-$H$5*J10)</f>
        <v>22.178010361795142</v>
      </c>
      <c r="Q16" s="34">
        <f t="shared" si="16"/>
        <v>0</v>
      </c>
      <c r="R16" s="34">
        <f t="shared" si="16"/>
        <v>-22.178010361795142</v>
      </c>
      <c r="S16" s="34">
        <f t="shared" si="16"/>
        <v>-44.356020723590284</v>
      </c>
      <c r="T16" s="34">
        <f t="shared" si="16"/>
        <v>-66.534031085385422</v>
      </c>
      <c r="U16" s="34">
        <f t="shared" si="16"/>
        <v>-88.712041447180567</v>
      </c>
      <c r="V16" s="34">
        <f t="shared" si="16"/>
        <v>-110.89005180897571</v>
      </c>
      <c r="W16" s="34">
        <f t="shared" si="16"/>
        <v>-133.06806217077084</v>
      </c>
      <c r="X16" s="34">
        <f t="shared" si="16"/>
        <v>-155.24607253256599</v>
      </c>
      <c r="Y16" s="34">
        <f t="shared" ref="Y16" si="17">$H$16*100*($H$6-$H$5*S10)</f>
        <v>-177.42408289436113</v>
      </c>
      <c r="Z16" s="34">
        <f t="shared" ref="Z16" si="18">$H$16*100*($H$6-$H$5*T10)</f>
        <v>-199.60209325615628</v>
      </c>
      <c r="AA16" s="34">
        <f t="shared" ref="AA16" si="19">$H$16*100*($H$6-$H$5*U10)</f>
        <v>-221.78010361795143</v>
      </c>
      <c r="AB16" s="34">
        <f t="shared" ref="AB16" si="20">$H$16*100*($H$6-$H$5*V10)</f>
        <v>-243.95811397974657</v>
      </c>
    </row>
    <row r="17" spans="1:28" ht="16.8">
      <c r="A17" s="27" t="str">
        <f t="shared" si="11"/>
        <v>L5</v>
      </c>
      <c r="B17" s="10">
        <f t="shared" si="12"/>
        <v>6.8535260697760017E-2</v>
      </c>
      <c r="C17" s="9">
        <f t="shared" si="13"/>
        <v>205.60578209328006</v>
      </c>
      <c r="D17" s="9">
        <f>IF(A17=0,0,$D$6+($D$7*($D$10-6)))</f>
        <v>30</v>
      </c>
      <c r="G17" s="37">
        <v>7</v>
      </c>
      <c r="H17" s="33">
        <f t="shared" si="8"/>
        <v>0.17942010382692272</v>
      </c>
      <c r="I17" s="3"/>
      <c r="J17" s="3"/>
      <c r="K17" s="3"/>
      <c r="L17" s="3"/>
      <c r="M17" s="3"/>
      <c r="N17" s="3"/>
      <c r="O17" s="34">
        <f>H6*H17*100</f>
        <v>107.65206229615363</v>
      </c>
      <c r="P17" s="34">
        <f>H17*100*(H6-H5)</f>
        <v>71.768041530769082</v>
      </c>
      <c r="Q17" s="34">
        <f t="shared" ref="Q17:X17" si="21">$H$17*100*($H$6-$H$5*J10)</f>
        <v>35.884020765384541</v>
      </c>
      <c r="R17" s="34">
        <f t="shared" si="21"/>
        <v>0</v>
      </c>
      <c r="S17" s="34">
        <f t="shared" si="21"/>
        <v>-35.884020765384541</v>
      </c>
      <c r="T17" s="34">
        <f t="shared" si="21"/>
        <v>-71.768041530769082</v>
      </c>
      <c r="U17" s="34">
        <f t="shared" si="21"/>
        <v>-107.65206229615362</v>
      </c>
      <c r="V17" s="34">
        <f t="shared" si="21"/>
        <v>-143.53608306153816</v>
      </c>
      <c r="W17" s="34">
        <f t="shared" si="21"/>
        <v>-179.42010382692271</v>
      </c>
      <c r="X17" s="34">
        <f t="shared" si="21"/>
        <v>-215.30412459230723</v>
      </c>
      <c r="Y17" s="34">
        <f t="shared" ref="Y17" si="22">$H$17*100*($H$6-$H$5*R10)</f>
        <v>-251.18814535769178</v>
      </c>
      <c r="Z17" s="34">
        <f t="shared" ref="Z17" si="23">$H$17*100*($H$6-$H$5*S10)</f>
        <v>-287.07216612307633</v>
      </c>
      <c r="AA17" s="34">
        <f t="shared" ref="AA17" si="24">$H$17*100*($H$6-$H$5*T10)</f>
        <v>-322.95618688846088</v>
      </c>
      <c r="AB17" s="34">
        <f t="shared" ref="AB17" si="25">$H$17*100*($H$6-$H$5*U10)</f>
        <v>-358.84020765384543</v>
      </c>
    </row>
    <row r="18" spans="1:28" ht="16.8">
      <c r="A18" s="27" t="str">
        <f t="shared" si="11"/>
        <v>L6</v>
      </c>
      <c r="B18" s="10">
        <f t="shared" si="12"/>
        <v>0.11089005180897571</v>
      </c>
      <c r="C18" s="9">
        <f t="shared" si="13"/>
        <v>310.49214506513198</v>
      </c>
      <c r="D18" s="9">
        <f>IF(A18=0,0,($D$7*($D$10-6)))</f>
        <v>28</v>
      </c>
      <c r="G18" s="37">
        <v>8</v>
      </c>
      <c r="H18" s="33">
        <f t="shared" si="8"/>
        <v>0.29030172799196097</v>
      </c>
      <c r="I18" s="3"/>
      <c r="J18" s="3"/>
      <c r="K18" s="3"/>
      <c r="L18" s="3"/>
      <c r="M18" s="3"/>
      <c r="N18" s="3"/>
      <c r="O18" s="3"/>
      <c r="P18" s="34">
        <f>H6*H18*100</f>
        <v>174.18103679517657</v>
      </c>
      <c r="Q18" s="34">
        <f>H18*100*(H6-H5)</f>
        <v>116.12069119678439</v>
      </c>
      <c r="R18" s="34">
        <f t="shared" ref="R18:X18" si="26">$H$18*100*($H$6-$H$5*J10)</f>
        <v>58.060345598392196</v>
      </c>
      <c r="S18" s="34">
        <f t="shared" si="26"/>
        <v>0</v>
      </c>
      <c r="T18" s="34">
        <f t="shared" si="26"/>
        <v>-58.060345598392196</v>
      </c>
      <c r="U18" s="34">
        <f t="shared" si="26"/>
        <v>-116.12069119678439</v>
      </c>
      <c r="V18" s="34">
        <f t="shared" si="26"/>
        <v>-174.1810367951766</v>
      </c>
      <c r="W18" s="34">
        <f t="shared" si="26"/>
        <v>-232.24138239356878</v>
      </c>
      <c r="X18" s="34">
        <f t="shared" si="26"/>
        <v>-290.301727991961</v>
      </c>
      <c r="Y18" s="34">
        <f t="shared" ref="Y18" si="27">$H$18*100*($H$6-$H$5*Q10)</f>
        <v>-348.36207359035319</v>
      </c>
      <c r="Z18" s="34">
        <f t="shared" ref="Z18" si="28">$H$18*100*($H$6-$H$5*R10)</f>
        <v>-406.42241918874538</v>
      </c>
      <c r="AA18" s="34">
        <f t="shared" ref="AA18" si="29">$H$18*100*($H$6-$H$5*S10)</f>
        <v>-464.48276478713757</v>
      </c>
      <c r="AB18" s="34">
        <f t="shared" ref="AB18" si="30">$H$18*100*($H$6-$H$5*T10)</f>
        <v>-522.54311038552976</v>
      </c>
    </row>
    <row r="19" spans="1:28" ht="16.8">
      <c r="A19" s="27" t="str">
        <f t="shared" si="11"/>
        <v>L7</v>
      </c>
      <c r="B19" s="10">
        <f t="shared" si="12"/>
        <v>0.17942010382692272</v>
      </c>
      <c r="C19" s="9">
        <f t="shared" si="13"/>
        <v>466.49226994999913</v>
      </c>
      <c r="D19" s="9">
        <f>IF(A19=0,0,($D$7*($D$10-7)))</f>
        <v>26</v>
      </c>
      <c r="G19" s="37">
        <v>9</v>
      </c>
      <c r="H19" s="33">
        <f t="shared" si="8"/>
        <v>0.46970819589099289</v>
      </c>
      <c r="I19" s="3"/>
      <c r="J19" s="3"/>
      <c r="K19" s="3"/>
      <c r="L19" s="3"/>
      <c r="M19" s="3"/>
      <c r="N19" s="3"/>
      <c r="O19" s="3"/>
      <c r="P19" s="3"/>
      <c r="Q19" s="34">
        <f>H6*H19*100</f>
        <v>281.82491753459573</v>
      </c>
      <c r="R19" s="34">
        <f>H19*100*(H6-H5)</f>
        <v>187.88327835639714</v>
      </c>
      <c r="S19" s="34">
        <f t="shared" ref="S19:X19" si="31">$H$19*100*($H$6-$H$5*J10)</f>
        <v>93.941639178198571</v>
      </c>
      <c r="T19" s="34">
        <f t="shared" si="31"/>
        <v>0</v>
      </c>
      <c r="U19" s="34">
        <f t="shared" si="31"/>
        <v>-93.941639178198571</v>
      </c>
      <c r="V19" s="34">
        <f t="shared" si="31"/>
        <v>-187.88327835639714</v>
      </c>
      <c r="W19" s="34">
        <f t="shared" si="31"/>
        <v>-281.82491753459573</v>
      </c>
      <c r="X19" s="34">
        <f t="shared" si="31"/>
        <v>-375.76655671279428</v>
      </c>
      <c r="Y19" s="34">
        <f t="shared" ref="Y19" si="32">$H$19*100*($H$6-$H$5*P10)</f>
        <v>-469.70819589099284</v>
      </c>
      <c r="Z19" s="34">
        <f t="shared" ref="Z19" si="33">$H$19*100*($H$6-$H$5*Q10)</f>
        <v>-563.64983506919145</v>
      </c>
      <c r="AA19" s="34">
        <f t="shared" ref="AA19" si="34">$H$19*100*($H$6-$H$5*R10)</f>
        <v>-657.59147424739001</v>
      </c>
      <c r="AB19" s="34">
        <f t="shared" ref="AB19" si="35">$H$19*100*($H$6-$H$5*S10)</f>
        <v>-751.53311342558857</v>
      </c>
    </row>
    <row r="20" spans="1:28" ht="16.8">
      <c r="A20" s="27" t="str">
        <f t="shared" si="11"/>
        <v>L8</v>
      </c>
      <c r="B20" s="10">
        <f t="shared" si="12"/>
        <v>0.29030172799196097</v>
      </c>
      <c r="C20" s="9">
        <f t="shared" si="13"/>
        <v>696.72414718070627</v>
      </c>
      <c r="D20" s="9">
        <f>IF(A20=0,0,($D$7*($D$10-8)))</f>
        <v>24</v>
      </c>
      <c r="G20" s="37">
        <v>10</v>
      </c>
      <c r="H20" s="33">
        <f t="shared" si="8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34">
        <f>H6*H20*100</f>
        <v>455.99271657097586</v>
      </c>
      <c r="S20" s="34">
        <f>H20*100*(H6-H5)</f>
        <v>303.99514438065063</v>
      </c>
      <c r="T20" s="34">
        <f>$H$20*100*($H$6-$H$5*J10)</f>
        <v>151.99757219032531</v>
      </c>
      <c r="U20" s="34">
        <f>$H$20*100*($H$6-$H$5*K10)</f>
        <v>0</v>
      </c>
      <c r="V20" s="34">
        <f>$H$20*100*($H$6-$H$5*L10)</f>
        <v>-151.99757219032531</v>
      </c>
      <c r="W20" s="34">
        <f>$H$20*100*($H$6-$H$5*M10)</f>
        <v>-303.99514438065063</v>
      </c>
      <c r="X20" s="34">
        <f>$H$20*100*($H$6-$H$5*N10)</f>
        <v>-455.99271657097597</v>
      </c>
      <c r="Y20" s="34">
        <f t="shared" ref="Y20:AB20" si="36">$H$20*100*($H$6-$H$5*O10)</f>
        <v>-607.99028876130126</v>
      </c>
      <c r="Z20" s="34">
        <f t="shared" si="36"/>
        <v>-759.98786095162654</v>
      </c>
      <c r="AA20" s="34">
        <f t="shared" si="36"/>
        <v>-911.98543314195194</v>
      </c>
      <c r="AB20" s="34">
        <f t="shared" si="36"/>
        <v>-1063.9830053322771</v>
      </c>
    </row>
    <row r="21" spans="1:28" ht="16.8">
      <c r="A21" s="27" t="str">
        <f t="shared" si="11"/>
        <v>L9</v>
      </c>
      <c r="B21" s="10">
        <f t="shared" si="12"/>
        <v>0.46970819589099289</v>
      </c>
      <c r="C21" s="9">
        <f t="shared" si="13"/>
        <v>1033.3580309601844</v>
      </c>
      <c r="D21" s="9">
        <f>IF(A21=0,0,($D$7*($D$10-9)))</f>
        <v>22</v>
      </c>
      <c r="G21" s="37">
        <v>11</v>
      </c>
      <c r="H21" s="33">
        <f t="shared" si="8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5">
        <f>H6*H21*100</f>
        <v>737.79621541183906</v>
      </c>
      <c r="T21" s="35">
        <f>H21*100*(H6-H5)</f>
        <v>491.86414360789269</v>
      </c>
      <c r="U21" s="35">
        <f>$H$21*100*($H$6-$H$5*J10)</f>
        <v>245.93207180394634</v>
      </c>
      <c r="V21" s="35">
        <f>$H$21*100*($H$6-$H$5*K10)</f>
        <v>0</v>
      </c>
      <c r="W21" s="35">
        <f>$H$21*100*($H$6-$H$5*L10)</f>
        <v>-245.93207180394634</v>
      </c>
      <c r="X21" s="35">
        <f>$H$21*100*($H$6-$H$5*M10)</f>
        <v>-491.86414360789269</v>
      </c>
      <c r="Y21" s="35">
        <f t="shared" ref="Y21:AB21" si="37">$H$21*100*($H$6-$H$5*N10)</f>
        <v>-737.79621541183906</v>
      </c>
      <c r="Z21" s="35">
        <f t="shared" si="37"/>
        <v>-983.72828721578537</v>
      </c>
      <c r="AA21" s="35">
        <f t="shared" si="37"/>
        <v>-1229.6603590197317</v>
      </c>
      <c r="AB21" s="35">
        <f t="shared" si="37"/>
        <v>-1475.5924308236781</v>
      </c>
    </row>
    <row r="22" spans="1:28" ht="16.8">
      <c r="A22" s="27" t="str">
        <f t="shared" si="11"/>
        <v>L10</v>
      </c>
      <c r="B22" s="10">
        <f t="shared" si="12"/>
        <v>0.75998786095162651</v>
      </c>
      <c r="C22" s="9">
        <f t="shared" si="13"/>
        <v>1519.9757219032531</v>
      </c>
      <c r="D22" s="9">
        <f>IF(A22=0,0,($D$7*($D$10-10)))</f>
        <v>20</v>
      </c>
      <c r="G22" s="37">
        <v>12</v>
      </c>
      <c r="H22" s="33">
        <f t="shared" si="8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5"/>
      <c r="T22" s="35">
        <f>H6*H22*100</f>
        <v>1193.7542765363555</v>
      </c>
      <c r="U22" s="35">
        <f>H22*100*(H6-H5)</f>
        <v>795.83618435757046</v>
      </c>
      <c r="V22" s="35">
        <f>$H$22*100*($H$6-$H$5*J10)</f>
        <v>397.91809217878523</v>
      </c>
      <c r="W22" s="35">
        <f>$H$22*100*($H$6-$H$5*K10)</f>
        <v>0</v>
      </c>
      <c r="X22" s="35">
        <f>$H$22*100*($H$6-$H$5*L10)</f>
        <v>-397.91809217878523</v>
      </c>
      <c r="Y22" s="35">
        <f t="shared" ref="Y22:AB22" si="38">$H$22*100*($H$6-$H$5*M10)</f>
        <v>-795.83618435757046</v>
      </c>
      <c r="Z22" s="35">
        <f t="shared" si="38"/>
        <v>-1193.7542765363557</v>
      </c>
      <c r="AA22" s="35">
        <f t="shared" si="38"/>
        <v>-1591.6723687151409</v>
      </c>
      <c r="AB22" s="35">
        <f t="shared" si="38"/>
        <v>-1989.5904608939261</v>
      </c>
    </row>
    <row r="23" spans="1:28" ht="16.8">
      <c r="A23" s="27" t="str">
        <f t="shared" si="11"/>
        <v>L11</v>
      </c>
      <c r="B23" s="10">
        <f t="shared" si="12"/>
        <v>1.2296603590197317</v>
      </c>
      <c r="C23" s="9">
        <f t="shared" si="13"/>
        <v>2213.3886462355172</v>
      </c>
      <c r="D23" s="9">
        <f>IF(A23=0,0,($D$7*($D$10-11)))</f>
        <v>18</v>
      </c>
      <c r="G23" s="37">
        <v>13</v>
      </c>
      <c r="H23" s="33">
        <f t="shared" si="8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5"/>
      <c r="T23" s="35"/>
      <c r="U23" s="35">
        <f>H6*H23*100</f>
        <v>1931.4944194358236</v>
      </c>
      <c r="V23" s="35">
        <f>H23*100*(H6-H5)</f>
        <v>1287.6629462905491</v>
      </c>
      <c r="W23" s="35">
        <f>$H$23*100*($H$6-$H$5*J10)</f>
        <v>643.83147314527457</v>
      </c>
      <c r="X23" s="35">
        <f>$H$23*100*($H$6-$H$5*K10)</f>
        <v>0</v>
      </c>
      <c r="Y23" s="35">
        <f t="shared" ref="Y23:AB23" si="39">$H$23*100*($H$6-$H$5*L10)</f>
        <v>-643.83147314527457</v>
      </c>
      <c r="Z23" s="35">
        <f t="shared" si="39"/>
        <v>-1287.6629462905491</v>
      </c>
      <c r="AA23" s="35">
        <f t="shared" si="39"/>
        <v>-1931.4944194358236</v>
      </c>
      <c r="AB23" s="35">
        <f t="shared" si="39"/>
        <v>-2575.3258925810983</v>
      </c>
    </row>
    <row r="24" spans="1:28" ht="16.8">
      <c r="A24" s="27" t="str">
        <f t="shared" si="11"/>
        <v>L12</v>
      </c>
      <c r="B24" s="10">
        <f t="shared" si="12"/>
        <v>1.9895904608939261</v>
      </c>
      <c r="C24" s="9">
        <f t="shared" si="13"/>
        <v>3183.3447374302818</v>
      </c>
      <c r="D24" s="9">
        <f>IF(A24=0,0,($D$7*($D$10-12)))</f>
        <v>16</v>
      </c>
      <c r="G24" s="37">
        <v>14</v>
      </c>
      <c r="H24" s="33">
        <f t="shared" si="8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5"/>
      <c r="T24" s="35"/>
      <c r="U24" s="35"/>
      <c r="V24" s="35">
        <f>H6*H24*100</f>
        <v>3125.157970647163</v>
      </c>
      <c r="W24" s="35">
        <f>H24*100*(H6-H5)</f>
        <v>2083.438647098109</v>
      </c>
      <c r="X24" s="35">
        <f>$H$24*100*($H$6-$H$5*J10)</f>
        <v>1041.7193235490545</v>
      </c>
      <c r="Y24" s="35">
        <f t="shared" ref="Y24:AB24" si="40">$H$24*100*($H$6-$H$5*K10)</f>
        <v>0</v>
      </c>
      <c r="Z24" s="35">
        <f t="shared" si="40"/>
        <v>-1041.7193235490545</v>
      </c>
      <c r="AA24" s="35">
        <f t="shared" si="40"/>
        <v>-2083.438647098109</v>
      </c>
      <c r="AB24" s="35">
        <f t="shared" si="40"/>
        <v>-3125.1579706471634</v>
      </c>
    </row>
    <row r="25" spans="1:28" ht="16.8">
      <c r="A25" s="27" t="str">
        <f t="shared" si="11"/>
        <v>L13</v>
      </c>
      <c r="B25" s="10">
        <f t="shared" si="12"/>
        <v>3.2191573657263728</v>
      </c>
      <c r="C25" s="9">
        <f t="shared" si="13"/>
        <v>4506.8203120169219</v>
      </c>
      <c r="D25" s="9">
        <f>IF(A25=0,0,($D$7*($D$10-13)))</f>
        <v>14</v>
      </c>
      <c r="G25" s="37">
        <v>15</v>
      </c>
      <c r="H25" s="33">
        <f t="shared" si="8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5"/>
      <c r="T25" s="35"/>
      <c r="U25" s="35"/>
      <c r="V25" s="35"/>
      <c r="W25" s="35">
        <f>H6*H25*100</f>
        <v>5056.5055965071115</v>
      </c>
      <c r="X25" s="35">
        <f>H25*100*(H6-H5)</f>
        <v>3371.0037310047405</v>
      </c>
      <c r="Y25" s="35">
        <f>$H$25*100*($H$6-$H$5*J10)</f>
        <v>1685.5018655023703</v>
      </c>
      <c r="Z25" s="35">
        <f>$H$25*100*($H$6-$H$5*K10)</f>
        <v>0</v>
      </c>
      <c r="AA25" s="35">
        <f>$H$25*100*($H$6-$H$5*L10)</f>
        <v>-1685.5018655023703</v>
      </c>
      <c r="AB25" s="35">
        <f>$H$25*100*($H$6-$H$5*M10)</f>
        <v>-3371.0037310047405</v>
      </c>
    </row>
    <row r="26" spans="1:28" ht="16.8">
      <c r="A26" s="27" t="str">
        <f t="shared" si="11"/>
        <v>L14</v>
      </c>
      <c r="B26" s="10">
        <f t="shared" si="12"/>
        <v>5.2085966177452718</v>
      </c>
      <c r="C26" s="9">
        <f t="shared" si="13"/>
        <v>6250.315941294326</v>
      </c>
      <c r="D26" s="9">
        <f>IF(A26=0,0,($D$7*($D$10-14)))</f>
        <v>12</v>
      </c>
      <c r="G26" s="37">
        <v>16</v>
      </c>
      <c r="H26" s="33">
        <f t="shared" si="8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5"/>
      <c r="T26" s="35"/>
      <c r="U26" s="35"/>
      <c r="V26" s="35"/>
      <c r="W26" s="35"/>
      <c r="X26" s="35">
        <f>H26*H6*100</f>
        <v>8181.4260551485049</v>
      </c>
      <c r="Y26" s="35">
        <f>$H$26*100*($H$6-$H$5)</f>
        <v>5454.28403676567</v>
      </c>
      <c r="Z26" s="35">
        <f>$H$26*100*($H$6-$H$5*J10)</f>
        <v>2727.142018382835</v>
      </c>
      <c r="AA26" s="35">
        <f>$H$26*100*($H$6-$H$5*K10)</f>
        <v>0</v>
      </c>
      <c r="AB26" s="35">
        <f>$H$26*100*($H$6-$H$5*L10)</f>
        <v>-2727.142018382835</v>
      </c>
    </row>
    <row r="27" spans="1:28" ht="16.8">
      <c r="A27" s="27" t="str">
        <f t="shared" si="11"/>
        <v>L15</v>
      </c>
      <c r="B27" s="10">
        <f t="shared" si="12"/>
        <v>8.4275093275118511</v>
      </c>
      <c r="C27" s="9">
        <f t="shared" si="13"/>
        <v>8427.5093275118506</v>
      </c>
      <c r="D27" s="9">
        <f>IF(A27=0,0,($D$7*($D$10-15)))</f>
        <v>10</v>
      </c>
      <c r="G27" s="37">
        <v>17</v>
      </c>
      <c r="H27" s="33">
        <f t="shared" si="8"/>
        <v>22.062578928717137</v>
      </c>
      <c r="Y27" s="35">
        <f>$H$27*$H$6*100</f>
        <v>13237.547357230284</v>
      </c>
      <c r="Z27" s="35">
        <f>$H$27*100*($H$6-$H$5*I$10)</f>
        <v>8825.0315714868557</v>
      </c>
      <c r="AA27" s="35">
        <f t="shared" ref="AA27:AB27" si="41">$H$27*100*($H$6-$H$5*J$10)</f>
        <v>4412.5157857434278</v>
      </c>
      <c r="AB27" s="35">
        <f t="shared" si="41"/>
        <v>0</v>
      </c>
    </row>
    <row r="28" spans="1:28" ht="16.8">
      <c r="A28" s="27" t="str">
        <f t="shared" si="11"/>
        <v>L16</v>
      </c>
      <c r="B28" s="10">
        <f t="shared" si="12"/>
        <v>13.635710091914175</v>
      </c>
      <c r="C28" s="9">
        <f t="shared" si="13"/>
        <v>10908.56807353134</v>
      </c>
      <c r="D28" s="9">
        <f>IF(A28=0,0,($D$7*($D$10-16)))</f>
        <v>8</v>
      </c>
      <c r="G28" s="37">
        <v>18</v>
      </c>
      <c r="H28" s="33">
        <f t="shared" si="8"/>
        <v>35.697252706664329</v>
      </c>
      <c r="Z28" s="35">
        <f>$H$28*$H$6*100</f>
        <v>21418.351623998598</v>
      </c>
      <c r="AA28" s="35">
        <f>$H$28*100*($H$6-$H$5*I$10)</f>
        <v>14278.901082665732</v>
      </c>
      <c r="AB28" s="35">
        <f>$H$28*100*($H$6-$H$5*J$10)</f>
        <v>7139.4505413328661</v>
      </c>
    </row>
    <row r="29" spans="1:28" ht="16.8">
      <c r="A29" s="27" t="str">
        <f t="shared" si="11"/>
        <v>L17</v>
      </c>
      <c r="B29" s="10">
        <f t="shared" si="12"/>
        <v>22.062578928717137</v>
      </c>
      <c r="C29" s="9">
        <f t="shared" si="13"/>
        <v>13237.547357230284</v>
      </c>
      <c r="D29" s="9">
        <f>IF(A29=0,0,($D$7*($D$10-17)))</f>
        <v>6</v>
      </c>
      <c r="G29" s="37">
        <v>19</v>
      </c>
      <c r="H29" s="33">
        <f t="shared" si="8"/>
        <v>57.758154879382886</v>
      </c>
      <c r="AA29" s="35">
        <f>$H$29*$H$6*100</f>
        <v>34654.892927629735</v>
      </c>
      <c r="AB29" s="35">
        <f>$H$29*100*($H$6-$H$5*I$10)</f>
        <v>23103.261951753153</v>
      </c>
    </row>
    <row r="30" spans="1:28" ht="16.8">
      <c r="A30" s="27" t="str">
        <f t="shared" si="11"/>
        <v>L18</v>
      </c>
      <c r="B30" s="10">
        <f t="shared" si="12"/>
        <v>35.697252706664329</v>
      </c>
      <c r="C30" s="9">
        <f t="shared" si="13"/>
        <v>14278.901082665732</v>
      </c>
      <c r="D30" s="9">
        <f>IF(A30=0,0,($D$7*($D$10-18)))</f>
        <v>4</v>
      </c>
      <c r="G30" s="37">
        <v>20</v>
      </c>
      <c r="H30" s="33">
        <f t="shared" si="8"/>
        <v>93.452694594841518</v>
      </c>
      <c r="AB30" s="35">
        <f>$H$30*$H$6*100</f>
        <v>56071.616756904907</v>
      </c>
    </row>
    <row r="31" spans="1:28" ht="16.8">
      <c r="A31" s="27" t="str">
        <f>IF(A30=0,0,IF(VALUE(MID(A30,2,2))&gt;=$D$10,0,"L"&amp;VALUE(MID(A30,2,2))+1))</f>
        <v>L19</v>
      </c>
      <c r="B31" s="10">
        <f>IF(A31&lt;&gt;0,B30*$D$9,0)</f>
        <v>57.758154879382886</v>
      </c>
      <c r="C31" s="9">
        <f t="shared" si="13"/>
        <v>11551.630975876576</v>
      </c>
      <c r="D31" s="9">
        <f>IF(A31=0,0,($D$7*($D$10-19)))</f>
        <v>2</v>
      </c>
      <c r="G31" s="39" t="s">
        <v>50</v>
      </c>
      <c r="H31" s="45">
        <f>SUM(H11:H26)</f>
        <v>35.683784674299567</v>
      </c>
      <c r="I31" s="40">
        <f>SUMIF(I11:I30, "&lt;0")</f>
        <v>0</v>
      </c>
      <c r="J31" s="40">
        <f t="shared" ref="J31:AB31" si="42">SUMIF(J11:J30, "&lt;0")</f>
        <v>0</v>
      </c>
      <c r="K31" s="40">
        <f t="shared" si="42"/>
        <v>0</v>
      </c>
      <c r="L31" s="40">
        <f t="shared" si="42"/>
        <v>0</v>
      </c>
      <c r="M31" s="40">
        <f t="shared" si="42"/>
        <v>-2</v>
      </c>
      <c r="N31" s="40">
        <f t="shared" si="42"/>
        <v>-7.2359999999999998</v>
      </c>
      <c r="O31" s="40">
        <f t="shared" si="42"/>
        <v>-17.707847999999998</v>
      </c>
      <c r="P31" s="40">
        <f t="shared" si="42"/>
        <v>-36.651298064000002</v>
      </c>
      <c r="Q31" s="40">
        <f t="shared" si="42"/>
        <v>-69.301800267552011</v>
      </c>
      <c r="R31" s="40">
        <f t="shared" si="42"/>
        <v>-124.13031283289916</v>
      </c>
      <c r="S31" s="40">
        <f t="shared" si="42"/>
        <v>-214.84284616363084</v>
      </c>
      <c r="T31" s="40">
        <f t="shared" si="42"/>
        <v>-363.61572509275476</v>
      </c>
      <c r="U31" s="40">
        <f t="shared" si="42"/>
        <v>-606.33024320007712</v>
      </c>
      <c r="V31" s="40">
        <f t="shared" si="42"/>
        <v>-1001.0423334977249</v>
      </c>
      <c r="W31" s="40">
        <f t="shared" si="42"/>
        <v>-1641.6864955993192</v>
      </c>
      <c r="X31" s="40">
        <f t="shared" si="42"/>
        <v>-2680.2487498796986</v>
      </c>
      <c r="Y31" s="40">
        <f t="shared" si="42"/>
        <v>-4362.6424773053523</v>
      </c>
      <c r="Z31" s="40">
        <f t="shared" si="42"/>
        <v>-7086.7555282800604</v>
      </c>
      <c r="AA31" s="40">
        <f t="shared" si="42"/>
        <v>-11496.37044475714</v>
      </c>
      <c r="AB31" s="40">
        <f t="shared" si="42"/>
        <v>-18633.127379617054</v>
      </c>
    </row>
    <row r="32" spans="1:28" ht="16.8">
      <c r="A32" s="27" t="str">
        <f t="shared" si="11"/>
        <v>L20</v>
      </c>
      <c r="B32" s="10">
        <f t="shared" si="12"/>
        <v>93.452694594841518</v>
      </c>
      <c r="C32" s="9">
        <f t="shared" si="13"/>
        <v>0</v>
      </c>
      <c r="D32" s="9">
        <f t="shared" ref="D32:D34" si="43">IF(A32=0,0,($D$7*($D$10-20)))</f>
        <v>0</v>
      </c>
      <c r="I32" s="103">
        <f t="shared" ref="I32:AB32" si="44">SUM(I11:I30)</f>
        <v>6</v>
      </c>
      <c r="J32" s="103">
        <f t="shared" si="44"/>
        <v>13.707999999999998</v>
      </c>
      <c r="K32" s="103">
        <f t="shared" si="44"/>
        <v>24.179544</v>
      </c>
      <c r="L32" s="103">
        <f t="shared" si="44"/>
        <v>39.122502191999999</v>
      </c>
      <c r="M32" s="103">
        <f t="shared" si="44"/>
        <v>61.300208546656016</v>
      </c>
      <c r="N32" s="103">
        <f t="shared" si="44"/>
        <v>95.183737428489422</v>
      </c>
      <c r="O32" s="103">
        <f t="shared" si="44"/>
        <v>148.00728715929591</v>
      </c>
      <c r="P32" s="103">
        <f t="shared" si="44"/>
        <v>231.47579062374081</v>
      </c>
      <c r="Q32" s="103">
        <f t="shared" si="44"/>
        <v>364.52782922921267</v>
      </c>
      <c r="R32" s="103">
        <f t="shared" si="44"/>
        <v>577.806027692866</v>
      </c>
      <c r="S32" s="103">
        <f t="shared" si="44"/>
        <v>920.89015280705735</v>
      </c>
      <c r="T32" s="103">
        <f t="shared" si="44"/>
        <v>1474.0002672418186</v>
      </c>
      <c r="U32" s="103">
        <f t="shared" si="44"/>
        <v>2366.9324323972633</v>
      </c>
      <c r="V32" s="103">
        <f t="shared" si="44"/>
        <v>3809.6966756187721</v>
      </c>
      <c r="W32" s="103">
        <f t="shared" si="44"/>
        <v>6142.0892211511764</v>
      </c>
      <c r="X32" s="103">
        <f t="shared" si="44"/>
        <v>9913.9003598226009</v>
      </c>
      <c r="Y32" s="103">
        <f t="shared" si="44"/>
        <v>16014.690782192971</v>
      </c>
      <c r="Z32" s="103">
        <f t="shared" si="44"/>
        <v>25883.769685588228</v>
      </c>
      <c r="AA32" s="103">
        <f t="shared" si="44"/>
        <v>41849.939351281755</v>
      </c>
      <c r="AB32" s="103">
        <f t="shared" si="44"/>
        <v>67681.201870373872</v>
      </c>
    </row>
    <row r="33" spans="1:28" ht="16.8">
      <c r="A33" s="27">
        <f t="shared" si="11"/>
        <v>0</v>
      </c>
      <c r="B33" s="10">
        <f t="shared" si="12"/>
        <v>0</v>
      </c>
      <c r="C33" s="9">
        <f t="shared" si="13"/>
        <v>0</v>
      </c>
      <c r="D33" s="9">
        <f t="shared" si="43"/>
        <v>0</v>
      </c>
      <c r="G33" s="1"/>
      <c r="I33" s="42">
        <f>SUM($H11:$H11)</f>
        <v>0.01</v>
      </c>
      <c r="J33" s="42">
        <f>SUM($H11:$H12)</f>
        <v>2.6180000000000002E-2</v>
      </c>
      <c r="K33" s="42">
        <f>SUM($H11:$H13)</f>
        <v>5.2359240000000001E-2</v>
      </c>
      <c r="L33" s="42">
        <f>SUM($H11:$H14)</f>
        <v>9.4717250320000002E-2</v>
      </c>
      <c r="M33" s="42">
        <f>SUM($H11:$H15)</f>
        <v>0.16325251101776</v>
      </c>
      <c r="N33" s="42">
        <f>SUM($H11:$H16)</f>
        <v>0.27414256282673571</v>
      </c>
      <c r="O33" s="42">
        <f>SUM($H11:$H17)</f>
        <v>0.45356266665365841</v>
      </c>
      <c r="P33" s="42">
        <f>SUM($H11:$H18)</f>
        <v>0.74386439464561938</v>
      </c>
      <c r="Q33" s="42">
        <f>SUM($H11:$H19)</f>
        <v>1.2135725905366122</v>
      </c>
      <c r="R33" s="42">
        <f>SUM($H11:$H20)</f>
        <v>1.9735604514882388</v>
      </c>
      <c r="S33" s="42">
        <f>SUM($H11:$H21)</f>
        <v>3.2032208105079705</v>
      </c>
      <c r="T33" s="42">
        <f>SUM($H11:$H22)</f>
        <v>5.1928112714018964</v>
      </c>
      <c r="U33" s="42">
        <f>SUM($H11:$H23)</f>
        <v>8.4119686371282683</v>
      </c>
      <c r="V33" s="42">
        <f>SUM($H11:$H24)</f>
        <v>13.62056525487354</v>
      </c>
      <c r="W33" s="42">
        <f>SUM($H11:$H25)</f>
        <v>22.048074582385389</v>
      </c>
      <c r="X33" s="42">
        <f>SUM($H11:$H26)</f>
        <v>35.683784674299567</v>
      </c>
      <c r="Y33" s="42">
        <f>SUM($H11:$H27)</f>
        <v>57.746363603016704</v>
      </c>
      <c r="Z33" s="42">
        <f>SUM($H11:$H28)</f>
        <v>93.443616309681033</v>
      </c>
      <c r="AA33" s="42">
        <f>SUM($H11:$H29)</f>
        <v>151.20177118906392</v>
      </c>
      <c r="AB33" s="42">
        <f>SUM($H11:$H30)</f>
        <v>244.65446578390544</v>
      </c>
    </row>
    <row r="34" spans="1:28" ht="17.399999999999999" thickBot="1">
      <c r="A34" s="27">
        <f t="shared" si="11"/>
        <v>0</v>
      </c>
      <c r="B34" s="10">
        <f t="shared" si="12"/>
        <v>0</v>
      </c>
      <c r="C34" s="9">
        <f t="shared" si="13"/>
        <v>0</v>
      </c>
      <c r="D34" s="9">
        <f t="shared" si="43"/>
        <v>0</v>
      </c>
    </row>
    <row r="35" spans="1:28" ht="18" thickTop="1" thickBot="1">
      <c r="A35" s="105" t="s">
        <v>12</v>
      </c>
      <c r="B35" s="106"/>
      <c r="C35" s="28">
        <f ca="1">SUM(C13:C37)</f>
        <v>48871.123362156599</v>
      </c>
      <c r="D35" s="29">
        <f ca="1">MAX(D13:D37)</f>
        <v>36</v>
      </c>
    </row>
    <row r="36" spans="1:28" ht="13.8" thickTop="1"/>
    <row r="38" spans="1:28" ht="13.8">
      <c r="E38" s="11"/>
      <c r="F38" s="73"/>
      <c r="G38" s="14" t="s">
        <v>15</v>
      </c>
      <c r="H38" s="14"/>
      <c r="I38" s="15"/>
      <c r="J38" s="16">
        <v>5</v>
      </c>
      <c r="K38" s="16">
        <v>5</v>
      </c>
      <c r="L38" s="16">
        <v>5</v>
      </c>
      <c r="M38" s="16">
        <v>5</v>
      </c>
      <c r="N38" s="16">
        <v>5</v>
      </c>
      <c r="O38" s="16">
        <v>5</v>
      </c>
      <c r="P38" s="16">
        <v>5</v>
      </c>
      <c r="Q38" s="16">
        <v>5</v>
      </c>
      <c r="R38" s="16">
        <v>5</v>
      </c>
      <c r="S38" s="16">
        <v>5</v>
      </c>
      <c r="T38" s="16">
        <v>5</v>
      </c>
      <c r="U38" s="16">
        <v>5</v>
      </c>
      <c r="V38" s="16">
        <v>5</v>
      </c>
      <c r="W38" s="16">
        <v>5</v>
      </c>
    </row>
    <row r="39" spans="1:28" ht="18">
      <c r="E39" s="11"/>
      <c r="F39" s="73"/>
      <c r="G39" s="71" t="s">
        <v>78</v>
      </c>
      <c r="H39" s="71"/>
      <c r="I39" s="72"/>
      <c r="J39" s="72">
        <f>J38</f>
        <v>5</v>
      </c>
      <c r="K39" s="72">
        <f>SUM($J$38:K38)</f>
        <v>10</v>
      </c>
      <c r="L39" s="72">
        <f>SUM($J$38:L38)</f>
        <v>15</v>
      </c>
      <c r="M39" s="72">
        <f>SUM($J$38:M38)</f>
        <v>20</v>
      </c>
      <c r="N39" s="72">
        <f>SUM($J$38:N38)</f>
        <v>25</v>
      </c>
      <c r="O39" s="72">
        <f>SUM($J$38:O38)</f>
        <v>30</v>
      </c>
      <c r="P39" s="72">
        <f>SUM($J$38:P38)</f>
        <v>35</v>
      </c>
      <c r="Q39" s="72">
        <f>SUM($J$38:Q38)</f>
        <v>40</v>
      </c>
      <c r="R39" s="72">
        <f>SUM($J$38:R38)</f>
        <v>45</v>
      </c>
      <c r="S39" s="72">
        <f>SUM($J$38:S38)</f>
        <v>50</v>
      </c>
      <c r="T39" s="72">
        <f>SUM($J$38:T38)</f>
        <v>55</v>
      </c>
      <c r="U39" s="72">
        <f>SUM($J$38:U38)</f>
        <v>60</v>
      </c>
      <c r="V39" s="72">
        <f>SUM($J$38:V38)</f>
        <v>65</v>
      </c>
      <c r="W39" s="72">
        <f>SUM($J$38:W38)</f>
        <v>70</v>
      </c>
    </row>
    <row r="40" spans="1:28" ht="13.8">
      <c r="D40" s="74"/>
      <c r="E40" s="74"/>
      <c r="F40" s="75"/>
      <c r="G40" s="17" t="s">
        <v>16</v>
      </c>
      <c r="H40" s="17"/>
      <c r="I40" s="64">
        <v>30</v>
      </c>
      <c r="J40" s="64">
        <v>30</v>
      </c>
      <c r="K40" s="64">
        <v>30</v>
      </c>
      <c r="L40" s="64">
        <v>30</v>
      </c>
      <c r="M40" s="64">
        <v>30</v>
      </c>
      <c r="N40" s="64">
        <v>30</v>
      </c>
      <c r="O40" s="64">
        <v>30</v>
      </c>
      <c r="P40" s="64">
        <v>30</v>
      </c>
      <c r="Q40" s="64">
        <v>30</v>
      </c>
      <c r="R40" s="64">
        <v>30</v>
      </c>
      <c r="S40" s="76">
        <v>5</v>
      </c>
      <c r="T40" s="68">
        <v>5</v>
      </c>
      <c r="U40" s="68">
        <v>5</v>
      </c>
      <c r="V40" s="68">
        <v>6</v>
      </c>
      <c r="W40" s="68">
        <v>7</v>
      </c>
    </row>
    <row r="41" spans="1:28" ht="13.8">
      <c r="D41" s="13" t="s">
        <v>54</v>
      </c>
      <c r="E41" s="52">
        <v>1</v>
      </c>
      <c r="F41" s="52">
        <v>1.3819999999999999</v>
      </c>
      <c r="G41" s="52">
        <v>1.6180000000000001</v>
      </c>
      <c r="H41" s="54" t="s">
        <v>18</v>
      </c>
      <c r="I41" s="64" t="s">
        <v>35</v>
      </c>
      <c r="J41" s="64" t="s">
        <v>36</v>
      </c>
      <c r="K41" s="64" t="s">
        <v>37</v>
      </c>
      <c r="L41" s="64" t="s">
        <v>38</v>
      </c>
      <c r="M41" s="64" t="s">
        <v>39</v>
      </c>
      <c r="N41" s="64" t="s">
        <v>40</v>
      </c>
      <c r="O41" s="64" t="s">
        <v>41</v>
      </c>
      <c r="P41" s="64" t="s">
        <v>42</v>
      </c>
      <c r="Q41" s="64" t="s">
        <v>43</v>
      </c>
      <c r="R41" s="64" t="s">
        <v>44</v>
      </c>
      <c r="S41" s="76" t="s">
        <v>45</v>
      </c>
      <c r="T41" s="68" t="s">
        <v>46</v>
      </c>
      <c r="U41" s="68" t="s">
        <v>47</v>
      </c>
      <c r="V41" s="68" t="s">
        <v>48</v>
      </c>
      <c r="W41" s="68" t="s">
        <v>49</v>
      </c>
    </row>
    <row r="42" spans="1:28" ht="13.8">
      <c r="D42" s="64" t="s">
        <v>35</v>
      </c>
      <c r="E42" s="18">
        <v>0.01</v>
      </c>
      <c r="F42" s="18">
        <f>E42</f>
        <v>0.01</v>
      </c>
      <c r="G42" s="18">
        <f>E42</f>
        <v>0.01</v>
      </c>
      <c r="H42" s="65">
        <v>0.01</v>
      </c>
      <c r="I42" s="80">
        <f>H42*I40*100</f>
        <v>30</v>
      </c>
      <c r="J42" s="81">
        <f t="shared" ref="J42:W42" si="45">$H$42*(J40-J39)*100</f>
        <v>25</v>
      </c>
      <c r="K42" s="81">
        <f t="shared" si="45"/>
        <v>20</v>
      </c>
      <c r="L42" s="81">
        <f t="shared" si="45"/>
        <v>15</v>
      </c>
      <c r="M42" s="81">
        <f t="shared" si="45"/>
        <v>10</v>
      </c>
      <c r="N42" s="81">
        <f t="shared" si="45"/>
        <v>5</v>
      </c>
      <c r="O42" s="81">
        <f t="shared" si="45"/>
        <v>0</v>
      </c>
      <c r="P42" s="81">
        <f t="shared" si="45"/>
        <v>-5</v>
      </c>
      <c r="Q42" s="81">
        <f t="shared" si="45"/>
        <v>-10</v>
      </c>
      <c r="R42" s="82">
        <f t="shared" si="45"/>
        <v>-15</v>
      </c>
      <c r="S42" s="77">
        <f t="shared" si="45"/>
        <v>-45</v>
      </c>
      <c r="T42" s="55">
        <f t="shared" si="45"/>
        <v>-50</v>
      </c>
      <c r="U42" s="55">
        <f t="shared" si="45"/>
        <v>-55.000000000000007</v>
      </c>
      <c r="V42" s="55">
        <f t="shared" si="45"/>
        <v>-59</v>
      </c>
      <c r="W42" s="56">
        <f t="shared" si="45"/>
        <v>-63</v>
      </c>
    </row>
    <row r="43" spans="1:28" ht="13.8">
      <c r="D43" s="64" t="s">
        <v>36</v>
      </c>
      <c r="E43" s="19">
        <f t="shared" ref="E43:E56" si="46">E42*$E$41</f>
        <v>0.01</v>
      </c>
      <c r="F43" s="19">
        <f t="shared" ref="F43:F56" si="47">F42*$F$41</f>
        <v>1.3819999999999999E-2</v>
      </c>
      <c r="G43" s="19">
        <f t="shared" ref="G43:G56" si="48">G42*$G$41</f>
        <v>1.618E-2</v>
      </c>
      <c r="H43" s="66">
        <v>0.01</v>
      </c>
      <c r="I43" s="83"/>
      <c r="J43" s="84">
        <f>H43*J40*100</f>
        <v>30</v>
      </c>
      <c r="K43" s="84">
        <f>$H$43*(K40-(K39-J39))*100</f>
        <v>25</v>
      </c>
      <c r="L43" s="84">
        <f t="shared" ref="L43:W43" si="49">$H$43*100*(L40-(L39-$J$39))</f>
        <v>20</v>
      </c>
      <c r="M43" s="84">
        <f t="shared" si="49"/>
        <v>15</v>
      </c>
      <c r="N43" s="84">
        <f t="shared" si="49"/>
        <v>10</v>
      </c>
      <c r="O43" s="84">
        <f t="shared" si="49"/>
        <v>5</v>
      </c>
      <c r="P43" s="84">
        <f t="shared" si="49"/>
        <v>0</v>
      </c>
      <c r="Q43" s="84">
        <f t="shared" si="49"/>
        <v>-5</v>
      </c>
      <c r="R43" s="85">
        <f t="shared" si="49"/>
        <v>-10</v>
      </c>
      <c r="S43" s="78">
        <f t="shared" si="49"/>
        <v>-40</v>
      </c>
      <c r="T43" s="20">
        <f t="shared" si="49"/>
        <v>-45</v>
      </c>
      <c r="U43" s="20">
        <f t="shared" si="49"/>
        <v>-50</v>
      </c>
      <c r="V43" s="20">
        <f t="shared" si="49"/>
        <v>-54</v>
      </c>
      <c r="W43" s="58">
        <f t="shared" si="49"/>
        <v>-58</v>
      </c>
    </row>
    <row r="44" spans="1:28" ht="13.8">
      <c r="D44" s="64" t="s">
        <v>37</v>
      </c>
      <c r="E44" s="19">
        <f t="shared" si="46"/>
        <v>0.01</v>
      </c>
      <c r="F44" s="19">
        <f t="shared" si="47"/>
        <v>1.9099239999999996E-2</v>
      </c>
      <c r="G44" s="19">
        <f t="shared" si="48"/>
        <v>2.6179240000000003E-2</v>
      </c>
      <c r="H44" s="66">
        <v>0.01</v>
      </c>
      <c r="I44" s="83"/>
      <c r="J44" s="84"/>
      <c r="K44" s="84">
        <f>H44*K40*100</f>
        <v>30</v>
      </c>
      <c r="L44" s="84">
        <f t="shared" ref="L44:W44" si="50">$H$44*100*(L40 -(L39-$K$39))</f>
        <v>25</v>
      </c>
      <c r="M44" s="84">
        <f t="shared" si="50"/>
        <v>20</v>
      </c>
      <c r="N44" s="84">
        <f t="shared" si="50"/>
        <v>15</v>
      </c>
      <c r="O44" s="84">
        <f t="shared" si="50"/>
        <v>10</v>
      </c>
      <c r="P44" s="84">
        <f t="shared" si="50"/>
        <v>5</v>
      </c>
      <c r="Q44" s="84">
        <f t="shared" si="50"/>
        <v>0</v>
      </c>
      <c r="R44" s="85">
        <f t="shared" si="50"/>
        <v>-5</v>
      </c>
      <c r="S44" s="78">
        <f t="shared" si="50"/>
        <v>-35</v>
      </c>
      <c r="T44" s="20">
        <f t="shared" si="50"/>
        <v>-40</v>
      </c>
      <c r="U44" s="20">
        <f t="shared" si="50"/>
        <v>-45</v>
      </c>
      <c r="V44" s="20">
        <f t="shared" si="50"/>
        <v>-49</v>
      </c>
      <c r="W44" s="58">
        <f t="shared" si="50"/>
        <v>-53</v>
      </c>
    </row>
    <row r="45" spans="1:28" ht="13.8">
      <c r="D45" s="64" t="s">
        <v>38</v>
      </c>
      <c r="E45" s="19">
        <f t="shared" si="46"/>
        <v>0.01</v>
      </c>
      <c r="F45" s="19">
        <f t="shared" si="47"/>
        <v>2.6395149679999994E-2</v>
      </c>
      <c r="G45" s="19">
        <f t="shared" si="48"/>
        <v>4.2358010320000007E-2</v>
      </c>
      <c r="H45" s="66">
        <v>0.01</v>
      </c>
      <c r="I45" s="83"/>
      <c r="J45" s="84"/>
      <c r="K45" s="84"/>
      <c r="L45" s="84">
        <f>H45*L40*100</f>
        <v>30</v>
      </c>
      <c r="M45" s="84">
        <f t="shared" ref="M45:W45" si="51">$H$45*(M40-(M39-$L$39))*100</f>
        <v>25</v>
      </c>
      <c r="N45" s="84">
        <f t="shared" si="51"/>
        <v>20</v>
      </c>
      <c r="O45" s="84">
        <f t="shared" si="51"/>
        <v>15</v>
      </c>
      <c r="P45" s="84">
        <f t="shared" si="51"/>
        <v>10</v>
      </c>
      <c r="Q45" s="84">
        <f t="shared" si="51"/>
        <v>5</v>
      </c>
      <c r="R45" s="85">
        <f t="shared" si="51"/>
        <v>0</v>
      </c>
      <c r="S45" s="78">
        <f t="shared" si="51"/>
        <v>-30</v>
      </c>
      <c r="T45" s="20">
        <f t="shared" si="51"/>
        <v>-35</v>
      </c>
      <c r="U45" s="20">
        <f t="shared" si="51"/>
        <v>-40</v>
      </c>
      <c r="V45" s="20">
        <f t="shared" si="51"/>
        <v>-44</v>
      </c>
      <c r="W45" s="58">
        <f t="shared" si="51"/>
        <v>-48</v>
      </c>
    </row>
    <row r="46" spans="1:28" ht="13.8">
      <c r="D46" s="64" t="s">
        <v>39</v>
      </c>
      <c r="E46" s="19">
        <f t="shared" si="46"/>
        <v>0.01</v>
      </c>
      <c r="F46" s="19">
        <f t="shared" si="47"/>
        <v>3.647809685775999E-2</v>
      </c>
      <c r="G46" s="19">
        <f t="shared" si="48"/>
        <v>6.8535260697760017E-2</v>
      </c>
      <c r="H46" s="66">
        <v>0.01</v>
      </c>
      <c r="I46" s="83"/>
      <c r="J46" s="84"/>
      <c r="K46" s="84"/>
      <c r="L46" s="84"/>
      <c r="M46" s="84">
        <f>H46*M40*100</f>
        <v>30</v>
      </c>
      <c r="N46" s="84">
        <f t="shared" ref="N46:W46" si="52">$H$46*(N40-(N39-$M$39))*100</f>
        <v>25</v>
      </c>
      <c r="O46" s="84">
        <f t="shared" si="52"/>
        <v>20</v>
      </c>
      <c r="P46" s="84">
        <f t="shared" si="52"/>
        <v>15</v>
      </c>
      <c r="Q46" s="84">
        <f t="shared" si="52"/>
        <v>10</v>
      </c>
      <c r="R46" s="85">
        <f t="shared" si="52"/>
        <v>5</v>
      </c>
      <c r="S46" s="78">
        <f t="shared" si="52"/>
        <v>-25</v>
      </c>
      <c r="T46" s="20">
        <f t="shared" si="52"/>
        <v>-30</v>
      </c>
      <c r="U46" s="20">
        <f t="shared" si="52"/>
        <v>-35</v>
      </c>
      <c r="V46" s="20">
        <f t="shared" si="52"/>
        <v>-39</v>
      </c>
      <c r="W46" s="58">
        <f t="shared" si="52"/>
        <v>-43</v>
      </c>
    </row>
    <row r="47" spans="1:28" ht="13.8">
      <c r="D47" s="64" t="s">
        <v>40</v>
      </c>
      <c r="E47" s="19">
        <f t="shared" si="46"/>
        <v>0.01</v>
      </c>
      <c r="F47" s="19">
        <f t="shared" si="47"/>
        <v>5.0412729857424302E-2</v>
      </c>
      <c r="G47" s="19">
        <f t="shared" si="48"/>
        <v>0.11089005180897571</v>
      </c>
      <c r="H47" s="66">
        <v>0.01</v>
      </c>
      <c r="I47" s="83"/>
      <c r="J47" s="84"/>
      <c r="K47" s="84"/>
      <c r="L47" s="84"/>
      <c r="M47" s="84"/>
      <c r="N47" s="84">
        <f>H47*N40*100</f>
        <v>30</v>
      </c>
      <c r="O47" s="84">
        <f t="shared" ref="O47:W47" si="53">$H$47*(O40-(O39-$N$39))*100</f>
        <v>25</v>
      </c>
      <c r="P47" s="84">
        <f t="shared" si="53"/>
        <v>20</v>
      </c>
      <c r="Q47" s="84">
        <f t="shared" si="53"/>
        <v>15</v>
      </c>
      <c r="R47" s="85">
        <f t="shared" si="53"/>
        <v>10</v>
      </c>
      <c r="S47" s="78">
        <f t="shared" si="53"/>
        <v>-20</v>
      </c>
      <c r="T47" s="20">
        <f t="shared" si="53"/>
        <v>-25</v>
      </c>
      <c r="U47" s="20">
        <f t="shared" si="53"/>
        <v>-30</v>
      </c>
      <c r="V47" s="20">
        <f t="shared" si="53"/>
        <v>-34</v>
      </c>
      <c r="W47" s="58">
        <f t="shared" si="53"/>
        <v>-38</v>
      </c>
    </row>
    <row r="48" spans="1:28" ht="13.8">
      <c r="D48" s="64" t="s">
        <v>41</v>
      </c>
      <c r="E48" s="19">
        <f t="shared" si="46"/>
        <v>0.01</v>
      </c>
      <c r="F48" s="19">
        <f t="shared" si="47"/>
        <v>6.9670392662960379E-2</v>
      </c>
      <c r="G48" s="19">
        <f t="shared" si="48"/>
        <v>0.17942010382692272</v>
      </c>
      <c r="H48" s="66">
        <v>0.01</v>
      </c>
      <c r="I48" s="83"/>
      <c r="J48" s="84"/>
      <c r="K48" s="84"/>
      <c r="L48" s="84"/>
      <c r="M48" s="84"/>
      <c r="N48" s="84"/>
      <c r="O48" s="84">
        <f>H48*O40*100</f>
        <v>30</v>
      </c>
      <c r="P48" s="84">
        <f t="shared" ref="P48:W48" si="54">$H$48*(P40-(P39-$O$39))*100</f>
        <v>25</v>
      </c>
      <c r="Q48" s="84">
        <f t="shared" si="54"/>
        <v>20</v>
      </c>
      <c r="R48" s="85">
        <f t="shared" si="54"/>
        <v>15</v>
      </c>
      <c r="S48" s="78">
        <f t="shared" si="54"/>
        <v>-15</v>
      </c>
      <c r="T48" s="20">
        <f t="shared" si="54"/>
        <v>-20</v>
      </c>
      <c r="U48" s="20">
        <f t="shared" si="54"/>
        <v>-25</v>
      </c>
      <c r="V48" s="20">
        <f t="shared" si="54"/>
        <v>-28.999999999999996</v>
      </c>
      <c r="W48" s="58">
        <f t="shared" si="54"/>
        <v>-33</v>
      </c>
    </row>
    <row r="49" spans="4:23" ht="13.8">
      <c r="D49" s="64" t="s">
        <v>42</v>
      </c>
      <c r="E49" s="19">
        <f t="shared" si="46"/>
        <v>0.01</v>
      </c>
      <c r="F49" s="19">
        <f t="shared" si="47"/>
        <v>9.6284482660211237E-2</v>
      </c>
      <c r="G49" s="19">
        <f t="shared" si="48"/>
        <v>0.29030172799196097</v>
      </c>
      <c r="H49" s="66">
        <v>0.01</v>
      </c>
      <c r="I49" s="83"/>
      <c r="J49" s="84"/>
      <c r="K49" s="84"/>
      <c r="L49" s="84"/>
      <c r="M49" s="84"/>
      <c r="N49" s="84"/>
      <c r="O49" s="84"/>
      <c r="P49" s="84">
        <f>H49*P40*100</f>
        <v>30</v>
      </c>
      <c r="Q49" s="84">
        <f t="shared" ref="Q49:W49" si="55">$H$49*(Q40-(Q39-$P$39))*100</f>
        <v>25</v>
      </c>
      <c r="R49" s="85">
        <f t="shared" si="55"/>
        <v>20</v>
      </c>
      <c r="S49" s="78">
        <f t="shared" si="55"/>
        <v>-10</v>
      </c>
      <c r="T49" s="20">
        <f t="shared" si="55"/>
        <v>-15</v>
      </c>
      <c r="U49" s="20">
        <f t="shared" si="55"/>
        <v>-20</v>
      </c>
      <c r="V49" s="20">
        <f t="shared" si="55"/>
        <v>-24</v>
      </c>
      <c r="W49" s="58">
        <f t="shared" si="55"/>
        <v>-28.000000000000004</v>
      </c>
    </row>
    <row r="50" spans="4:23" ht="13.8">
      <c r="D50" s="64" t="s">
        <v>43</v>
      </c>
      <c r="E50" s="19">
        <f t="shared" si="46"/>
        <v>0.01</v>
      </c>
      <c r="F50" s="19">
        <f t="shared" si="47"/>
        <v>0.13306515503641192</v>
      </c>
      <c r="G50" s="19">
        <f t="shared" si="48"/>
        <v>0.46970819589099289</v>
      </c>
      <c r="H50" s="66">
        <v>0.01</v>
      </c>
      <c r="I50" s="83"/>
      <c r="J50" s="84"/>
      <c r="K50" s="84"/>
      <c r="L50" s="84"/>
      <c r="M50" s="84"/>
      <c r="N50" s="84"/>
      <c r="O50" s="84"/>
      <c r="P50" s="84"/>
      <c r="Q50" s="84">
        <f>H50*Q40*100</f>
        <v>30</v>
      </c>
      <c r="R50" s="85">
        <f t="shared" ref="R50:W50" si="56">$H$50*(R40-(R39-$Q$39))*100</f>
        <v>25</v>
      </c>
      <c r="S50" s="78">
        <f t="shared" si="56"/>
        <v>-5</v>
      </c>
      <c r="T50" s="20">
        <f t="shared" si="56"/>
        <v>-10</v>
      </c>
      <c r="U50" s="20">
        <f t="shared" si="56"/>
        <v>-15</v>
      </c>
      <c r="V50" s="20">
        <f t="shared" si="56"/>
        <v>-19</v>
      </c>
      <c r="W50" s="58">
        <f t="shared" si="56"/>
        <v>-23</v>
      </c>
    </row>
    <row r="51" spans="4:23" ht="13.8">
      <c r="D51" s="64" t="s">
        <v>44</v>
      </c>
      <c r="E51" s="19">
        <f t="shared" si="46"/>
        <v>0.01</v>
      </c>
      <c r="F51" s="19">
        <f t="shared" si="47"/>
        <v>0.18389604426032125</v>
      </c>
      <c r="G51" s="19">
        <f t="shared" si="48"/>
        <v>0.75998786095162651</v>
      </c>
      <c r="H51" s="66">
        <v>0.01</v>
      </c>
      <c r="I51" s="86"/>
      <c r="J51" s="87"/>
      <c r="K51" s="87"/>
      <c r="L51" s="87"/>
      <c r="M51" s="87"/>
      <c r="N51" s="87"/>
      <c r="O51" s="87"/>
      <c r="P51" s="87"/>
      <c r="Q51" s="87"/>
      <c r="R51" s="88">
        <f>H51*R40*100</f>
        <v>30</v>
      </c>
      <c r="S51" s="79">
        <f>$H$51*(S40-(S39-$R$39))*100</f>
        <v>0</v>
      </c>
      <c r="T51" s="21">
        <f>$H$51*(T40-(T39-$R$39))*100</f>
        <v>-5</v>
      </c>
      <c r="U51" s="21">
        <f>$H$51*(U40-(U39-$R$39))*100</f>
        <v>-10</v>
      </c>
      <c r="V51" s="21">
        <f>$H$51*(V40-(V39-$R$39))*100</f>
        <v>-14.000000000000002</v>
      </c>
      <c r="W51" s="59">
        <f>$H$51*(W40-(W39-$R$39))*100</f>
        <v>-18</v>
      </c>
    </row>
    <row r="52" spans="4:23" ht="13.8">
      <c r="D52" s="67" t="s">
        <v>45</v>
      </c>
      <c r="E52" s="19">
        <f t="shared" si="46"/>
        <v>0.01</v>
      </c>
      <c r="F52" s="19">
        <f t="shared" si="47"/>
        <v>0.25414433316776397</v>
      </c>
      <c r="G52" s="19">
        <f t="shared" si="48"/>
        <v>1.2296603590197317</v>
      </c>
      <c r="H52" s="69">
        <v>0.46970819589099289</v>
      </c>
      <c r="I52" s="63"/>
      <c r="J52" s="53"/>
      <c r="K52" s="53"/>
      <c r="L52" s="53"/>
      <c r="M52" s="53"/>
      <c r="N52" s="53"/>
      <c r="O52" s="53"/>
      <c r="P52" s="53"/>
      <c r="Q52" s="53"/>
      <c r="R52" s="94"/>
      <c r="S52" s="98">
        <f>H52*S40*100</f>
        <v>234.85409794549645</v>
      </c>
      <c r="T52" s="55">
        <f>$H$52*(T40-(T39-$S$39))*100</f>
        <v>0</v>
      </c>
      <c r="U52" s="55">
        <f>$H$52*(U40-(U39-$S$39))*100</f>
        <v>-234.85409794549645</v>
      </c>
      <c r="V52" s="55">
        <f>$H$52*(V40-(V39-$S$39))*100</f>
        <v>-422.73737630189362</v>
      </c>
      <c r="W52" s="56">
        <f>$H$52*(W40-(W39-$S$39))*100</f>
        <v>-610.62065465829073</v>
      </c>
    </row>
    <row r="53" spans="4:23" ht="13.8">
      <c r="D53" s="68" t="s">
        <v>46</v>
      </c>
      <c r="E53" s="19">
        <f t="shared" si="46"/>
        <v>0.01</v>
      </c>
      <c r="F53" s="19">
        <f t="shared" si="47"/>
        <v>0.3512274684378498</v>
      </c>
      <c r="G53" s="19">
        <f t="shared" si="48"/>
        <v>1.9895904608939261</v>
      </c>
      <c r="H53" s="70">
        <v>0.75998786095162651</v>
      </c>
      <c r="I53" s="57"/>
      <c r="J53" s="20"/>
      <c r="K53" s="20"/>
      <c r="L53" s="20"/>
      <c r="M53" s="20"/>
      <c r="N53" s="20"/>
      <c r="O53" s="20"/>
      <c r="P53" s="20"/>
      <c r="Q53" s="20"/>
      <c r="R53" s="95"/>
      <c r="S53" s="57"/>
      <c r="T53" s="89">
        <f>H53*T40*100</f>
        <v>379.99393047581327</v>
      </c>
      <c r="U53" s="20">
        <f>$H$53*(U40-(U39-$T$39))*100</f>
        <v>0</v>
      </c>
      <c r="V53" s="20">
        <f>$H$53*(V40-(V39-$T$39))*100</f>
        <v>-303.99514438065063</v>
      </c>
      <c r="W53" s="58">
        <f>$H$53*(W40-(W39-$T$39))*100</f>
        <v>-607.99028876130126</v>
      </c>
    </row>
    <row r="54" spans="4:23" ht="13.8">
      <c r="D54" s="68" t="s">
        <v>47</v>
      </c>
      <c r="E54" s="19">
        <f t="shared" si="46"/>
        <v>0.01</v>
      </c>
      <c r="F54" s="19">
        <f t="shared" si="47"/>
        <v>0.48539636138110837</v>
      </c>
      <c r="G54" s="19">
        <f t="shared" si="48"/>
        <v>3.2191573657263728</v>
      </c>
      <c r="H54" s="70">
        <v>1.2296603590197317</v>
      </c>
      <c r="I54" s="57"/>
      <c r="J54" s="20"/>
      <c r="K54" s="20"/>
      <c r="L54" s="20"/>
      <c r="M54" s="20"/>
      <c r="N54" s="20"/>
      <c r="O54" s="20"/>
      <c r="P54" s="20"/>
      <c r="Q54" s="20"/>
      <c r="R54" s="95"/>
      <c r="S54" s="57"/>
      <c r="T54" s="20"/>
      <c r="U54" s="89">
        <f>H54*U40*100</f>
        <v>614.83017950986584</v>
      </c>
      <c r="V54" s="20">
        <f>$H$54*(V40-(V39-$U$39))*100</f>
        <v>122.96603590197317</v>
      </c>
      <c r="W54" s="58">
        <f>$H$54*(W40-(W39-$U$39))*100</f>
        <v>-368.89810770591953</v>
      </c>
    </row>
    <row r="55" spans="4:23" ht="13.8">
      <c r="D55" s="68" t="s">
        <v>48</v>
      </c>
      <c r="E55" s="19">
        <f t="shared" si="46"/>
        <v>0.01</v>
      </c>
      <c r="F55" s="19">
        <f t="shared" si="47"/>
        <v>0.6708177714286917</v>
      </c>
      <c r="G55" s="19">
        <f t="shared" si="48"/>
        <v>5.2085966177452718</v>
      </c>
      <c r="H55" s="70">
        <v>1.9895904608939261</v>
      </c>
      <c r="I55" s="57"/>
      <c r="J55" s="20"/>
      <c r="K55" s="20"/>
      <c r="L55" s="20"/>
      <c r="M55" s="20"/>
      <c r="N55" s="20"/>
      <c r="O55" s="20"/>
      <c r="P55" s="20"/>
      <c r="Q55" s="20"/>
      <c r="R55" s="95"/>
      <c r="S55" s="57"/>
      <c r="T55" s="20"/>
      <c r="U55" s="20"/>
      <c r="V55" s="89">
        <f>H55*V40*100</f>
        <v>1193.7542765363555</v>
      </c>
      <c r="W55" s="58">
        <f>$H$55*(W40-(W39-$V$39))*100</f>
        <v>397.91809217878523</v>
      </c>
    </row>
    <row r="56" spans="4:23" ht="13.8">
      <c r="D56" s="68" t="s">
        <v>49</v>
      </c>
      <c r="E56" s="19">
        <f t="shared" si="46"/>
        <v>0.01</v>
      </c>
      <c r="F56" s="19">
        <f t="shared" si="47"/>
        <v>0.92707016011445187</v>
      </c>
      <c r="G56" s="19">
        <f t="shared" si="48"/>
        <v>8.4275093275118511</v>
      </c>
      <c r="H56" s="70">
        <v>3.2191573657263728</v>
      </c>
      <c r="I56" s="60"/>
      <c r="J56" s="61"/>
      <c r="K56" s="61"/>
      <c r="L56" s="61"/>
      <c r="M56" s="61"/>
      <c r="N56" s="61"/>
      <c r="O56" s="61"/>
      <c r="P56" s="61"/>
      <c r="Q56" s="61"/>
      <c r="R56" s="96"/>
      <c r="S56" s="60"/>
      <c r="T56" s="61"/>
      <c r="U56" s="61"/>
      <c r="V56" s="61"/>
      <c r="W56" s="90">
        <f>H56*W40*100</f>
        <v>2253.4101560084609</v>
      </c>
    </row>
    <row r="57" spans="4:23" ht="13.8">
      <c r="D57" s="22"/>
      <c r="E57" s="22"/>
      <c r="F57" s="22"/>
      <c r="G57" s="22"/>
      <c r="H57" s="22"/>
      <c r="I57" s="104">
        <f t="shared" ref="I57:W57" si="57">SUMIF(I42:I56, "&lt;0")</f>
        <v>0</v>
      </c>
      <c r="J57" s="104">
        <f t="shared" si="57"/>
        <v>0</v>
      </c>
      <c r="K57" s="104">
        <f t="shared" si="57"/>
        <v>0</v>
      </c>
      <c r="L57" s="104">
        <f t="shared" si="57"/>
        <v>0</v>
      </c>
      <c r="M57" s="104">
        <f t="shared" si="57"/>
        <v>0</v>
      </c>
      <c r="N57" s="104">
        <f t="shared" si="57"/>
        <v>0</v>
      </c>
      <c r="O57" s="104">
        <f t="shared" si="57"/>
        <v>0</v>
      </c>
      <c r="P57" s="104">
        <f t="shared" si="57"/>
        <v>-5</v>
      </c>
      <c r="Q57" s="104">
        <f t="shared" si="57"/>
        <v>-15</v>
      </c>
      <c r="R57" s="104">
        <f t="shared" si="57"/>
        <v>-30</v>
      </c>
      <c r="S57" s="104">
        <f t="shared" si="57"/>
        <v>-225</v>
      </c>
      <c r="T57" s="104">
        <f t="shared" si="57"/>
        <v>-275</v>
      </c>
      <c r="U57" s="104">
        <f t="shared" si="57"/>
        <v>-559.85409794549651</v>
      </c>
      <c r="V57" s="104">
        <f t="shared" si="57"/>
        <v>-1091.7325206825442</v>
      </c>
      <c r="W57" s="104">
        <f t="shared" si="57"/>
        <v>-1992.5090511255114</v>
      </c>
    </row>
    <row r="58" spans="4:23" ht="13.8">
      <c r="D58" s="22"/>
      <c r="E58" s="22"/>
      <c r="F58" s="22"/>
      <c r="G58" s="22"/>
      <c r="H58" s="62">
        <f t="shared" ref="H58:W58" si="58">SUM(H42:H56)</f>
        <v>7.7681042424826501</v>
      </c>
      <c r="I58" s="92">
        <f t="shared" si="58"/>
        <v>30</v>
      </c>
      <c r="J58" s="93">
        <f t="shared" si="58"/>
        <v>55</v>
      </c>
      <c r="K58" s="93">
        <f t="shared" si="58"/>
        <v>75</v>
      </c>
      <c r="L58" s="93">
        <f t="shared" si="58"/>
        <v>90</v>
      </c>
      <c r="M58" s="93">
        <f t="shared" si="58"/>
        <v>100</v>
      </c>
      <c r="N58" s="93">
        <f t="shared" si="58"/>
        <v>105</v>
      </c>
      <c r="O58" s="93">
        <f t="shared" si="58"/>
        <v>105</v>
      </c>
      <c r="P58" s="93">
        <f t="shared" si="58"/>
        <v>100</v>
      </c>
      <c r="Q58" s="93">
        <f t="shared" si="58"/>
        <v>90</v>
      </c>
      <c r="R58" s="97">
        <f t="shared" si="58"/>
        <v>75</v>
      </c>
      <c r="S58" s="91">
        <f t="shared" si="58"/>
        <v>9.8540979454964486</v>
      </c>
      <c r="T58" s="91">
        <f t="shared" si="58"/>
        <v>104.99393047581327</v>
      </c>
      <c r="U58" s="91">
        <f t="shared" si="58"/>
        <v>54.976081564369338</v>
      </c>
      <c r="V58" s="91">
        <f t="shared" si="58"/>
        <v>224.98779175578454</v>
      </c>
      <c r="W58" s="91">
        <f t="shared" si="58"/>
        <v>658.81919706173471</v>
      </c>
    </row>
  </sheetData>
  <protectedRanges>
    <protectedRange sqref="D2:D10" name="DATA_2"/>
  </protectedRanges>
  <mergeCells count="7">
    <mergeCell ref="A1:D1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19" priority="53">
      <formula>$I$10=$D$10</formula>
    </cfRule>
  </conditionalFormatting>
  <conditionalFormatting sqref="J10">
    <cfRule type="expression" dxfId="18" priority="54">
      <formula>$J$10=$D$10</formula>
    </cfRule>
  </conditionalFormatting>
  <conditionalFormatting sqref="K10">
    <cfRule type="expression" dxfId="17" priority="55">
      <formula>$K$10=$D$10</formula>
    </cfRule>
  </conditionalFormatting>
  <conditionalFormatting sqref="L10">
    <cfRule type="expression" dxfId="16" priority="56">
      <formula>$L$10=$D$10</formula>
    </cfRule>
  </conditionalFormatting>
  <conditionalFormatting sqref="M10">
    <cfRule type="expression" dxfId="15" priority="57">
      <formula>$M$10=$D$10</formula>
    </cfRule>
  </conditionalFormatting>
  <conditionalFormatting sqref="N10">
    <cfRule type="expression" dxfId="14" priority="58">
      <formula>$N$10=$D$10</formula>
    </cfRule>
  </conditionalFormatting>
  <conditionalFormatting sqref="O10">
    <cfRule type="expression" dxfId="13" priority="59">
      <formula>$O$10=$D$10</formula>
    </cfRule>
  </conditionalFormatting>
  <conditionalFormatting sqref="P10">
    <cfRule type="expression" dxfId="12" priority="60">
      <formula>$P$10=$D$10</formula>
    </cfRule>
  </conditionalFormatting>
  <conditionalFormatting sqref="Q10">
    <cfRule type="expression" dxfId="11" priority="61">
      <formula>$Q$10=$D$10</formula>
    </cfRule>
  </conditionalFormatting>
  <conditionalFormatting sqref="R10">
    <cfRule type="expression" dxfId="10" priority="62">
      <formula>$R$10=$D$10</formula>
    </cfRule>
  </conditionalFormatting>
  <conditionalFormatting sqref="S10">
    <cfRule type="expression" dxfId="9" priority="63">
      <formula>$S$10=$D$10</formula>
    </cfRule>
  </conditionalFormatting>
  <conditionalFormatting sqref="T10">
    <cfRule type="expression" dxfId="8" priority="64">
      <formula>$T$10=$D$10</formula>
    </cfRule>
  </conditionalFormatting>
  <conditionalFormatting sqref="U10">
    <cfRule type="expression" dxfId="7" priority="65">
      <formula>$U$10=$D$10</formula>
    </cfRule>
  </conditionalFormatting>
  <conditionalFormatting sqref="V10">
    <cfRule type="expression" dxfId="6" priority="66">
      <formula>$V$10=$D$10</formula>
    </cfRule>
  </conditionalFormatting>
  <conditionalFormatting sqref="W10">
    <cfRule type="expression" dxfId="5" priority="67">
      <formula>$W$10=$D$10</formula>
    </cfRule>
  </conditionalFormatting>
  <conditionalFormatting sqref="X10">
    <cfRule type="expression" dxfId="4" priority="68">
      <formula>$X$10=$D$10</formula>
    </cfRule>
  </conditionalFormatting>
  <conditionalFormatting sqref="Y10">
    <cfRule type="expression" dxfId="3" priority="4">
      <formula>$Y$10=$D$10</formula>
    </cfRule>
  </conditionalFormatting>
  <conditionalFormatting sqref="Z10">
    <cfRule type="expression" dxfId="2" priority="3">
      <formula>$Z$10=$D$10</formula>
    </cfRule>
  </conditionalFormatting>
  <conditionalFormatting sqref="AA10">
    <cfRule type="expression" dxfId="1" priority="2">
      <formula>$AA$10=$D$10</formula>
    </cfRule>
  </conditionalFormatting>
  <conditionalFormatting sqref="AB10">
    <cfRule type="expression" dxfId="0" priority="1">
      <formula>$AB$10=$D$10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U56"/>
  <sheetViews>
    <sheetView topLeftCell="K149" zoomScale="55" zoomScaleNormal="55" workbookViewId="0">
      <selection activeCell="V224" sqref="V224"/>
    </sheetView>
  </sheetViews>
  <sheetFormatPr defaultRowHeight="14.4"/>
  <sheetData>
    <row r="3" spans="2:47">
      <c r="B3" t="s">
        <v>58</v>
      </c>
      <c r="E3" t="s">
        <v>59</v>
      </c>
      <c r="G3" t="s">
        <v>64</v>
      </c>
      <c r="M3" t="s">
        <v>60</v>
      </c>
      <c r="O3" t="s">
        <v>65</v>
      </c>
      <c r="X3" t="s">
        <v>61</v>
      </c>
      <c r="Y3" t="s">
        <v>66</v>
      </c>
      <c r="AI3" t="s">
        <v>62</v>
      </c>
      <c r="AJ3" t="s">
        <v>63</v>
      </c>
      <c r="AT3" t="s">
        <v>67</v>
      </c>
      <c r="AU3">
        <v>107.7</v>
      </c>
    </row>
    <row r="56" spans="2:38">
      <c r="B56" t="s">
        <v>68</v>
      </c>
      <c r="D56" t="s">
        <v>69</v>
      </c>
      <c r="M56" t="s">
        <v>70</v>
      </c>
      <c r="O56" t="s">
        <v>71</v>
      </c>
      <c r="X56" t="s">
        <v>72</v>
      </c>
      <c r="Z56" t="s">
        <v>73</v>
      </c>
      <c r="AI56" t="s">
        <v>74</v>
      </c>
      <c r="AJ56" t="s">
        <v>68</v>
      </c>
      <c r="AL56" t="s">
        <v>69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69:L169"/>
  <sheetViews>
    <sheetView tabSelected="1" topLeftCell="A130" workbookViewId="0">
      <selection activeCell="E172" sqref="E172"/>
    </sheetView>
  </sheetViews>
  <sheetFormatPr defaultRowHeight="14.4"/>
  <sheetData>
    <row r="169" spans="11:12">
      <c r="K169">
        <v>2149.9029999999998</v>
      </c>
      <c r="L169">
        <v>2159.9029999999998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Input L30</vt:lpstr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 Đỗ</cp:lastModifiedBy>
  <dcterms:created xsi:type="dcterms:W3CDTF">2023-10-25T17:11:07Z</dcterms:created>
  <dcterms:modified xsi:type="dcterms:W3CDTF">2024-04-06T09:32:39Z</dcterms:modified>
</cp:coreProperties>
</file>