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DUNG\TÍNH NHUẬN BÚT MỚI\"/>
    </mc:Choice>
  </mc:AlternateContent>
  <bookViews>
    <workbookView xWindow="-105" yWindow="-105" windowWidth="23250" windowHeight="12570" activeTab="5"/>
  </bookViews>
  <sheets>
    <sheet name="BẢN TIN TRỰC TIẾP PT" sheetId="7" r:id="rId1"/>
    <sheet name="TẠP CHÍ" sheetId="16" r:id="rId2"/>
    <sheet name="TIN, BÀI" sheetId="12" r:id="rId3"/>
    <sheet name="CT KG,GT" sheetId="8" r:id="rId4"/>
    <sheet name="PT CÓ HÌNH" sheetId="10" r:id="rId5"/>
    <sheet name="Tiểu phẩm, câu chuyện TT" sheetId="18" r:id="rId6"/>
    <sheet name="Mức độ công việc PT" sheetId="17" r:id="rId7"/>
    <sheet name="PHỤ CẤP CTP (tính theo TH)" sheetId="13" r:id="rId8"/>
  </sheet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9" i="10" l="1"/>
  <c r="B58" i="8"/>
  <c r="H26" i="8"/>
  <c r="I26" i="8"/>
  <c r="G26" i="8"/>
  <c r="F26" i="8"/>
  <c r="E26" i="8"/>
  <c r="B11" i="8"/>
  <c r="C22" i="12"/>
  <c r="D22" i="12"/>
  <c r="E22" i="12"/>
  <c r="F22" i="12"/>
  <c r="G22" i="12"/>
  <c r="H22" i="12"/>
  <c r="I22" i="12"/>
  <c r="J22" i="12"/>
  <c r="K22" i="12"/>
  <c r="B22" i="12"/>
  <c r="B14" i="16"/>
  <c r="B17" i="7"/>
  <c r="B16" i="7"/>
  <c r="C10" i="7"/>
  <c r="B19" i="12" l="1"/>
  <c r="B8" i="12"/>
  <c r="F10" i="10"/>
  <c r="O2" i="10"/>
  <c r="C10" i="16"/>
  <c r="L4" i="16"/>
  <c r="B10" i="7"/>
  <c r="M3" i="7"/>
  <c r="B10" i="18"/>
  <c r="L36" i="10"/>
  <c r="L37" i="10"/>
  <c r="L34" i="10"/>
  <c r="N30" i="10"/>
  <c r="O30" i="10"/>
  <c r="F12" i="10" l="1"/>
  <c r="F11" i="10"/>
  <c r="G7" i="10"/>
  <c r="B30" i="7"/>
  <c r="K40" i="7"/>
  <c r="I40" i="7"/>
  <c r="J40" i="7"/>
  <c r="B42" i="8"/>
  <c r="B45" i="8" s="1"/>
  <c r="C8" i="8"/>
  <c r="C11" i="8" s="1"/>
  <c r="J12" i="8"/>
  <c r="K12" i="8"/>
  <c r="J13" i="8"/>
  <c r="K13" i="8"/>
  <c r="D10" i="16"/>
  <c r="E10" i="16" s="1"/>
  <c r="B11" i="12"/>
  <c r="C19" i="12"/>
  <c r="D19" i="12" s="1"/>
  <c r="C8" i="12"/>
  <c r="B10" i="12"/>
  <c r="B15" i="7"/>
  <c r="H7" i="10" l="1"/>
  <c r="I7" i="10" s="1"/>
  <c r="J7" i="10" s="1"/>
  <c r="K7" i="10" s="1"/>
  <c r="L7" i="10" s="1"/>
  <c r="M7" i="10" s="1"/>
  <c r="N7" i="10" s="1"/>
  <c r="N19" i="10" s="1"/>
  <c r="N18" i="10" s="1"/>
  <c r="G19" i="10"/>
  <c r="F10" i="16"/>
  <c r="G10" i="16" s="1"/>
  <c r="H10" i="16" s="1"/>
  <c r="I10" i="16" s="1"/>
  <c r="E14" i="16"/>
  <c r="B21" i="12"/>
  <c r="C42" i="8"/>
  <c r="D42" i="8" s="1"/>
  <c r="B46" i="8"/>
  <c r="B44" i="8"/>
  <c r="B43" i="8"/>
  <c r="D45" i="8"/>
  <c r="E42" i="8"/>
  <c r="C45" i="8"/>
  <c r="D8" i="8"/>
  <c r="E8" i="8" s="1"/>
  <c r="D21" i="12"/>
  <c r="E19" i="12"/>
  <c r="F19" i="12" s="1"/>
  <c r="G19" i="12" s="1"/>
  <c r="H19" i="12" s="1"/>
  <c r="I19" i="12" s="1"/>
  <c r="J19" i="12" s="1"/>
  <c r="K19" i="12" s="1"/>
  <c r="K21" i="12" s="1"/>
  <c r="O7" i="10" l="1"/>
  <c r="O19" i="10" s="1"/>
  <c r="O29" i="10" s="1"/>
  <c r="N12" i="10"/>
  <c r="N11" i="10"/>
  <c r="N10" i="10"/>
  <c r="N21" i="10"/>
  <c r="N20" i="10"/>
  <c r="N29" i="10"/>
  <c r="N28" i="10"/>
  <c r="N27" i="10"/>
  <c r="J10" i="16"/>
  <c r="K10" i="16" s="1"/>
  <c r="B48" i="8"/>
  <c r="F42" i="8"/>
  <c r="E45" i="8"/>
  <c r="C46" i="8"/>
  <c r="C44" i="8"/>
  <c r="C43" i="8"/>
  <c r="D46" i="8"/>
  <c r="D44" i="8"/>
  <c r="D43" i="8"/>
  <c r="D48" i="8" s="1"/>
  <c r="F8" i="8"/>
  <c r="E11" i="8"/>
  <c r="N24" i="10" l="1"/>
  <c r="O10" i="10"/>
  <c r="O18" i="10"/>
  <c r="O12" i="10"/>
  <c r="O20" i="10"/>
  <c r="O11" i="10"/>
  <c r="O27" i="10"/>
  <c r="O28" i="10"/>
  <c r="O21" i="10"/>
  <c r="N15" i="10"/>
  <c r="N31" i="10"/>
  <c r="E46" i="8"/>
  <c r="E44" i="8"/>
  <c r="E43" i="8"/>
  <c r="C48" i="8"/>
  <c r="F45" i="8"/>
  <c r="G42" i="8"/>
  <c r="F11" i="8"/>
  <c r="G8" i="8"/>
  <c r="H8" i="8" s="1"/>
  <c r="I8" i="8" s="1"/>
  <c r="J8" i="8" s="1"/>
  <c r="N32" i="10" l="1"/>
  <c r="O24" i="10"/>
  <c r="O15" i="10"/>
  <c r="O31" i="10"/>
  <c r="E48" i="8"/>
  <c r="F46" i="8"/>
  <c r="F44" i="8"/>
  <c r="F43" i="8"/>
  <c r="H42" i="8"/>
  <c r="G45" i="8"/>
  <c r="K8" i="8"/>
  <c r="K11" i="8" s="1"/>
  <c r="J11" i="8"/>
  <c r="O32" i="10" l="1"/>
  <c r="H45" i="8"/>
  <c r="I42" i="8"/>
  <c r="G46" i="8"/>
  <c r="G44" i="8"/>
  <c r="G43" i="8"/>
  <c r="F48" i="8"/>
  <c r="G48" i="8" l="1"/>
  <c r="H46" i="8"/>
  <c r="H44" i="8"/>
  <c r="H43" i="8"/>
  <c r="J42" i="8"/>
  <c r="I45" i="8"/>
  <c r="J45" i="8" l="1"/>
  <c r="K42" i="8"/>
  <c r="K45" i="8" s="1"/>
  <c r="I46" i="8"/>
  <c r="I44" i="8"/>
  <c r="I43" i="8"/>
  <c r="H48" i="8"/>
  <c r="I48" i="8" l="1"/>
  <c r="J46" i="8"/>
  <c r="J44" i="8"/>
  <c r="J43" i="8"/>
  <c r="K46" i="8"/>
  <c r="K44" i="8"/>
  <c r="K43" i="8"/>
  <c r="K48" i="8" l="1"/>
  <c r="J48" i="8"/>
  <c r="F40" i="7" l="1"/>
  <c r="G40" i="7"/>
  <c r="H40" i="7"/>
  <c r="B26" i="8"/>
  <c r="B29" i="8" s="1"/>
  <c r="N15" i="18"/>
  <c r="C13" i="8"/>
  <c r="D13" i="8"/>
  <c r="E13" i="8"/>
  <c r="F13" i="8"/>
  <c r="G13" i="8"/>
  <c r="H13" i="8"/>
  <c r="I13" i="8"/>
  <c r="B13" i="8"/>
  <c r="C12" i="8"/>
  <c r="D12" i="8"/>
  <c r="E12" i="8"/>
  <c r="F12" i="8"/>
  <c r="G12" i="8"/>
  <c r="H12" i="8"/>
  <c r="I12" i="8"/>
  <c r="B12" i="8"/>
  <c r="B9" i="8"/>
  <c r="N7" i="8"/>
  <c r="B13" i="18"/>
  <c r="G30" i="10"/>
  <c r="H30" i="10"/>
  <c r="I30" i="10"/>
  <c r="J30" i="10"/>
  <c r="K30" i="10"/>
  <c r="L30" i="10"/>
  <c r="M30" i="10"/>
  <c r="F30" i="10"/>
  <c r="B40" i="7"/>
  <c r="C40" i="7"/>
  <c r="F27" i="10"/>
  <c r="F20" i="10"/>
  <c r="O4" i="10"/>
  <c r="C26" i="8" l="1"/>
  <c r="B9" i="18"/>
  <c r="B12" i="18"/>
  <c r="H19" i="10"/>
  <c r="B27" i="8"/>
  <c r="B30" i="8"/>
  <c r="B28" i="8"/>
  <c r="C29" i="8"/>
  <c r="C27" i="8" s="1"/>
  <c r="D26" i="8"/>
  <c r="C7" i="18"/>
  <c r="C10" i="18" s="1"/>
  <c r="B8" i="18"/>
  <c r="D8" i="12"/>
  <c r="B17" i="16"/>
  <c r="C12" i="18" l="1"/>
  <c r="C13" i="18"/>
  <c r="I19" i="10"/>
  <c r="B15" i="16"/>
  <c r="B18" i="16"/>
  <c r="J9" i="8"/>
  <c r="J14" i="8"/>
  <c r="J10" i="8"/>
  <c r="K9" i="8"/>
  <c r="K14" i="8"/>
  <c r="K10" i="8"/>
  <c r="D10" i="12"/>
  <c r="D11" i="12" s="1"/>
  <c r="E8" i="12"/>
  <c r="E10" i="12" s="1"/>
  <c r="E11" i="12" s="1"/>
  <c r="J21" i="12"/>
  <c r="C30" i="8"/>
  <c r="C28" i="8"/>
  <c r="D7" i="18"/>
  <c r="E7" i="18" s="1"/>
  <c r="F7" i="18" s="1"/>
  <c r="G7" i="18" s="1"/>
  <c r="H7" i="18" s="1"/>
  <c r="I7" i="18" s="1"/>
  <c r="J7" i="18" s="1"/>
  <c r="K7" i="18" s="1"/>
  <c r="D29" i="8"/>
  <c r="C9" i="18"/>
  <c r="C8" i="18"/>
  <c r="B14" i="18"/>
  <c r="C10" i="12"/>
  <c r="C11" i="12" s="1"/>
  <c r="F8" i="12" l="1"/>
  <c r="G8" i="12" s="1"/>
  <c r="H8" i="12" s="1"/>
  <c r="I8" i="12" s="1"/>
  <c r="J8" i="12" s="1"/>
  <c r="K8" i="12" s="1"/>
  <c r="K10" i="12" s="1"/>
  <c r="K11" i="12" s="1"/>
  <c r="J26" i="8"/>
  <c r="K26" i="8" s="1"/>
  <c r="C32" i="8"/>
  <c r="K10" i="18"/>
  <c r="J10" i="18"/>
  <c r="E10" i="18"/>
  <c r="E12" i="18" s="1"/>
  <c r="J19" i="10"/>
  <c r="K17" i="8"/>
  <c r="J17" i="8"/>
  <c r="D30" i="8"/>
  <c r="D28" i="8"/>
  <c r="D27" i="8"/>
  <c r="C14" i="18"/>
  <c r="D10" i="18"/>
  <c r="E29" i="8"/>
  <c r="B32" i="8"/>
  <c r="F10" i="18"/>
  <c r="B41" i="7"/>
  <c r="C41" i="7" s="1"/>
  <c r="D40" i="7"/>
  <c r="E40" i="7"/>
  <c r="B35" i="7"/>
  <c r="C30" i="7"/>
  <c r="D30" i="7" s="1"/>
  <c r="E30" i="7" s="1"/>
  <c r="F30" i="7" s="1"/>
  <c r="G30" i="7" s="1"/>
  <c r="H30" i="7" s="1"/>
  <c r="I30" i="7" s="1"/>
  <c r="J30" i="7" s="1"/>
  <c r="K30" i="7" s="1"/>
  <c r="D10" i="7"/>
  <c r="E10" i="7" s="1"/>
  <c r="D32" i="8" l="1"/>
  <c r="J10" i="12"/>
  <c r="J11" i="12" s="1"/>
  <c r="I10" i="12"/>
  <c r="I11" i="12" s="1"/>
  <c r="F10" i="7"/>
  <c r="G10" i="7" s="1"/>
  <c r="H10" i="7" s="1"/>
  <c r="I10" i="7" s="1"/>
  <c r="J10" i="7" s="1"/>
  <c r="K10" i="7" s="1"/>
  <c r="B39" i="7"/>
  <c r="B36" i="7"/>
  <c r="E9" i="18"/>
  <c r="E13" i="18"/>
  <c r="D12" i="18"/>
  <c r="D13" i="18"/>
  <c r="K12" i="18"/>
  <c r="K9" i="18"/>
  <c r="K8" i="18"/>
  <c r="K13" i="18"/>
  <c r="E8" i="18"/>
  <c r="J12" i="18"/>
  <c r="J9" i="18"/>
  <c r="J8" i="18"/>
  <c r="J13" i="18"/>
  <c r="F13" i="18"/>
  <c r="F12" i="18"/>
  <c r="K19" i="10"/>
  <c r="F35" i="7"/>
  <c r="E27" i="8"/>
  <c r="E30" i="8"/>
  <c r="E28" i="8"/>
  <c r="D8" i="18"/>
  <c r="D9" i="18"/>
  <c r="F29" i="8"/>
  <c r="G10" i="18"/>
  <c r="F9" i="18"/>
  <c r="F8" i="18"/>
  <c r="B31" i="7"/>
  <c r="B32" i="7"/>
  <c r="B33" i="7"/>
  <c r="B34" i="7"/>
  <c r="D41" i="7"/>
  <c r="E41" i="7" s="1"/>
  <c r="F41" i="7" s="1"/>
  <c r="G41" i="7" s="1"/>
  <c r="H41" i="7" s="1"/>
  <c r="I41" i="7" s="1"/>
  <c r="J41" i="7" s="1"/>
  <c r="K41" i="7" s="1"/>
  <c r="O14" i="12"/>
  <c r="F15" i="7" l="1"/>
  <c r="F17" i="7" s="1"/>
  <c r="E14" i="18"/>
  <c r="K14" i="18"/>
  <c r="J14" i="18"/>
  <c r="G12" i="18"/>
  <c r="G13" i="18"/>
  <c r="L19" i="10"/>
  <c r="G35" i="7"/>
  <c r="F32" i="7"/>
  <c r="F39" i="7"/>
  <c r="F33" i="7"/>
  <c r="F36" i="7"/>
  <c r="F34" i="7"/>
  <c r="F31" i="7"/>
  <c r="J15" i="7"/>
  <c r="J17" i="7" s="1"/>
  <c r="K15" i="7"/>
  <c r="K17" i="7" s="1"/>
  <c r="F30" i="8"/>
  <c r="F28" i="8"/>
  <c r="F27" i="8"/>
  <c r="D14" i="18"/>
  <c r="E32" i="8"/>
  <c r="G29" i="8"/>
  <c r="B10" i="8"/>
  <c r="B14" i="8"/>
  <c r="F14" i="18"/>
  <c r="H10" i="18"/>
  <c r="I10" i="18"/>
  <c r="G9" i="18"/>
  <c r="G8" i="18"/>
  <c r="B49" i="7"/>
  <c r="L36" i="7" s="1"/>
  <c r="D35" i="7"/>
  <c r="C35" i="7"/>
  <c r="F32" i="8" l="1"/>
  <c r="H13" i="18"/>
  <c r="H12" i="18"/>
  <c r="I12" i="18"/>
  <c r="I13" i="18"/>
  <c r="H35" i="7"/>
  <c r="H36" i="7" s="1"/>
  <c r="H32" i="7"/>
  <c r="H31" i="7"/>
  <c r="F49" i="7"/>
  <c r="G33" i="7"/>
  <c r="G32" i="7"/>
  <c r="G36" i="7"/>
  <c r="G31" i="7"/>
  <c r="G39" i="7"/>
  <c r="G34" i="7"/>
  <c r="K11" i="7"/>
  <c r="K16" i="7"/>
  <c r="K19" i="7"/>
  <c r="K14" i="7"/>
  <c r="K12" i="7"/>
  <c r="K13" i="7"/>
  <c r="J11" i="7"/>
  <c r="J16" i="7"/>
  <c r="J19" i="7"/>
  <c r="J13" i="7"/>
  <c r="J14" i="7"/>
  <c r="J12" i="7"/>
  <c r="G27" i="8"/>
  <c r="G30" i="8"/>
  <c r="G28" i="8"/>
  <c r="H29" i="8"/>
  <c r="I9" i="18"/>
  <c r="I8" i="18"/>
  <c r="G14" i="18"/>
  <c r="H9" i="18"/>
  <c r="H8" i="18"/>
  <c r="C39" i="7"/>
  <c r="C36" i="7"/>
  <c r="C33" i="7"/>
  <c r="C31" i="7"/>
  <c r="D31" i="7"/>
  <c r="D39" i="7"/>
  <c r="D36" i="7"/>
  <c r="D33" i="7"/>
  <c r="L39" i="7"/>
  <c r="L40" i="7"/>
  <c r="L41" i="7"/>
  <c r="L34" i="7"/>
  <c r="L35" i="7"/>
  <c r="L33" i="7"/>
  <c r="L32" i="7"/>
  <c r="L31" i="7"/>
  <c r="C32" i="7"/>
  <c r="C34" i="7"/>
  <c r="E35" i="7"/>
  <c r="D34" i="7"/>
  <c r="D32" i="7"/>
  <c r="C58" i="8"/>
  <c r="B61" i="8"/>
  <c r="B60" i="8" l="1"/>
  <c r="B59" i="8"/>
  <c r="B62" i="8"/>
  <c r="H33" i="7"/>
  <c r="H39" i="7"/>
  <c r="H34" i="7"/>
  <c r="I35" i="7"/>
  <c r="D58" i="8"/>
  <c r="E58" i="8" s="1"/>
  <c r="F58" i="8" s="1"/>
  <c r="G58" i="8" s="1"/>
  <c r="H58" i="8" s="1"/>
  <c r="I58" i="8" s="1"/>
  <c r="J58" i="8" s="1"/>
  <c r="K58" i="8" s="1"/>
  <c r="I29" i="8"/>
  <c r="I30" i="8" s="1"/>
  <c r="G49" i="7"/>
  <c r="J20" i="7"/>
  <c r="K20" i="7"/>
  <c r="H30" i="8"/>
  <c r="H28" i="8"/>
  <c r="H27" i="8"/>
  <c r="H14" i="18"/>
  <c r="I14" i="18"/>
  <c r="G32" i="8"/>
  <c r="E33" i="7"/>
  <c r="E31" i="7"/>
  <c r="E39" i="7"/>
  <c r="E36" i="7"/>
  <c r="C49" i="7"/>
  <c r="D49" i="7"/>
  <c r="E34" i="7"/>
  <c r="E32" i="7"/>
  <c r="H49" i="7" l="1"/>
  <c r="I31" i="7"/>
  <c r="I36" i="7"/>
  <c r="I39" i="7"/>
  <c r="I34" i="7"/>
  <c r="I32" i="7"/>
  <c r="I33" i="7"/>
  <c r="K35" i="7"/>
  <c r="J35" i="7"/>
  <c r="I27" i="8"/>
  <c r="I28" i="8"/>
  <c r="J61" i="8"/>
  <c r="K61" i="8"/>
  <c r="J29" i="8"/>
  <c r="K29" i="8"/>
  <c r="H32" i="8"/>
  <c r="E49" i="7"/>
  <c r="K60" i="8" l="1"/>
  <c r="K59" i="8"/>
  <c r="K62" i="8"/>
  <c r="J60" i="8"/>
  <c r="J59" i="8"/>
  <c r="J62" i="8"/>
  <c r="I49" i="7"/>
  <c r="K32" i="7"/>
  <c r="K39" i="7"/>
  <c r="K31" i="7"/>
  <c r="K34" i="7"/>
  <c r="K33" i="7"/>
  <c r="K36" i="7"/>
  <c r="J31" i="7"/>
  <c r="J36" i="7"/>
  <c r="J39" i="7"/>
  <c r="J33" i="7"/>
  <c r="J34" i="7"/>
  <c r="J32" i="7"/>
  <c r="I32" i="8"/>
  <c r="K27" i="8"/>
  <c r="K30" i="8"/>
  <c r="K28" i="8"/>
  <c r="J27" i="8"/>
  <c r="J30" i="8"/>
  <c r="J28" i="8"/>
  <c r="D14" i="16"/>
  <c r="C14" i="16"/>
  <c r="F8" i="10"/>
  <c r="G8" i="10"/>
  <c r="H8" i="10"/>
  <c r="J8" i="10"/>
  <c r="K8" i="10"/>
  <c r="J49" i="7" l="1"/>
  <c r="K49" i="7"/>
  <c r="J64" i="8"/>
  <c r="K64" i="8"/>
  <c r="J32" i="8"/>
  <c r="K32" i="8"/>
  <c r="L49" i="7"/>
  <c r="G10" i="10"/>
  <c r="G21" i="10"/>
  <c r="G28" i="10"/>
  <c r="F29" i="10"/>
  <c r="F28" i="10"/>
  <c r="F21" i="10"/>
  <c r="G29" i="10"/>
  <c r="G27" i="10"/>
  <c r="G20" i="10"/>
  <c r="G18" i="10"/>
  <c r="G12" i="10"/>
  <c r="G11" i="10"/>
  <c r="F18" i="10"/>
  <c r="F31" i="10" l="1"/>
  <c r="F24" i="10"/>
  <c r="F15" i="10"/>
  <c r="F14" i="16"/>
  <c r="G15" i="10"/>
  <c r="H10" i="10"/>
  <c r="H11" i="10"/>
  <c r="H12" i="10"/>
  <c r="H18" i="10"/>
  <c r="H20" i="10"/>
  <c r="H21" i="10"/>
  <c r="H27" i="10"/>
  <c r="H28" i="10"/>
  <c r="H29" i="10"/>
  <c r="G24" i="10"/>
  <c r="G31" i="10"/>
  <c r="F32" i="10" l="1"/>
  <c r="K14" i="16"/>
  <c r="J14" i="16"/>
  <c r="G32" i="10"/>
  <c r="H31" i="10"/>
  <c r="H15" i="10"/>
  <c r="I21" i="10"/>
  <c r="I28" i="10"/>
  <c r="I10" i="10"/>
  <c r="I11" i="10"/>
  <c r="I12" i="10"/>
  <c r="I18" i="10"/>
  <c r="I20" i="10"/>
  <c r="I27" i="10"/>
  <c r="I29" i="10"/>
  <c r="H24" i="10"/>
  <c r="J12" i="16" l="1"/>
  <c r="J15" i="16"/>
  <c r="J17" i="16"/>
  <c r="J18" i="16"/>
  <c r="J19" i="16"/>
  <c r="J20" i="16"/>
  <c r="J13" i="16"/>
  <c r="K12" i="16"/>
  <c r="K15" i="16"/>
  <c r="K17" i="16"/>
  <c r="K18" i="16"/>
  <c r="K19" i="16"/>
  <c r="K20" i="16"/>
  <c r="K13" i="16"/>
  <c r="H32" i="10"/>
  <c r="I31" i="10"/>
  <c r="I24" i="10"/>
  <c r="J10" i="10"/>
  <c r="J11" i="10"/>
  <c r="J12" i="10"/>
  <c r="J18" i="10"/>
  <c r="J20" i="10"/>
  <c r="J21" i="10"/>
  <c r="J27" i="10"/>
  <c r="J28" i="10"/>
  <c r="J29" i="10"/>
  <c r="I15" i="10"/>
  <c r="J21" i="16" l="1"/>
  <c r="K21" i="16"/>
  <c r="J31" i="10"/>
  <c r="J15" i="10"/>
  <c r="M19" i="10"/>
  <c r="I32" i="10"/>
  <c r="J24" i="10"/>
  <c r="K10" i="10"/>
  <c r="K11" i="10"/>
  <c r="K12" i="10"/>
  <c r="K18" i="10"/>
  <c r="K20" i="10"/>
  <c r="K27" i="10"/>
  <c r="K29" i="10"/>
  <c r="K21" i="10"/>
  <c r="K28" i="10"/>
  <c r="K24" i="10" l="1"/>
  <c r="L10" i="10"/>
  <c r="L11" i="10"/>
  <c r="L12" i="10"/>
  <c r="L18" i="10"/>
  <c r="L20" i="10"/>
  <c r="L21" i="10"/>
  <c r="L27" i="10"/>
  <c r="L28" i="10"/>
  <c r="L29" i="10"/>
  <c r="J32" i="10"/>
  <c r="K31" i="10"/>
  <c r="K15" i="10"/>
  <c r="M21" i="10"/>
  <c r="M28" i="10"/>
  <c r="M10" i="10"/>
  <c r="M11" i="10"/>
  <c r="M12" i="10"/>
  <c r="M18" i="10"/>
  <c r="M20" i="10"/>
  <c r="M27" i="10"/>
  <c r="M29" i="10"/>
  <c r="M31" i="10" l="1"/>
  <c r="L31" i="10"/>
  <c r="K32" i="10"/>
  <c r="M15" i="10"/>
  <c r="L24" i="10"/>
  <c r="M24" i="10"/>
  <c r="L15" i="10"/>
  <c r="L32" i="10" l="1"/>
  <c r="M32" i="10"/>
  <c r="D11" i="8" l="1"/>
  <c r="C14" i="8" l="1"/>
  <c r="C61" i="8"/>
  <c r="C59" i="8" l="1"/>
  <c r="C62" i="8"/>
  <c r="C60" i="8"/>
  <c r="B64" i="8"/>
  <c r="D61" i="8" l="1"/>
  <c r="C64" i="8"/>
  <c r="D59" i="8" l="1"/>
  <c r="D62" i="8"/>
  <c r="D60" i="8"/>
  <c r="G11" i="8"/>
  <c r="E61" i="8"/>
  <c r="E59" i="8" l="1"/>
  <c r="E62" i="8"/>
  <c r="E60" i="8"/>
  <c r="H11" i="8"/>
  <c r="D64" i="8"/>
  <c r="F61" i="8"/>
  <c r="F59" i="8" l="1"/>
  <c r="F62" i="8"/>
  <c r="F60" i="8"/>
  <c r="I11" i="8"/>
  <c r="H14" i="8"/>
  <c r="H9" i="8"/>
  <c r="H10" i="8"/>
  <c r="G61" i="8"/>
  <c r="E64" i="8"/>
  <c r="G59" i="8" l="1"/>
  <c r="G62" i="8"/>
  <c r="G60" i="8"/>
  <c r="H17" i="8"/>
  <c r="I9" i="8"/>
  <c r="I10" i="8"/>
  <c r="I14" i="8"/>
  <c r="F64" i="8"/>
  <c r="H61" i="8"/>
  <c r="I61" i="8"/>
  <c r="H59" i="8" l="1"/>
  <c r="H62" i="8"/>
  <c r="H60" i="8"/>
  <c r="I60" i="8"/>
  <c r="I59" i="8"/>
  <c r="I62" i="8"/>
  <c r="I17" i="8"/>
  <c r="G64" i="8"/>
  <c r="H64" i="8" l="1"/>
  <c r="I64" i="8"/>
  <c r="C21" i="12" l="1"/>
  <c r="P21" i="12"/>
  <c r="E12" i="16"/>
  <c r="B11" i="7" l="1"/>
  <c r="H14" i="16"/>
  <c r="G14" i="16"/>
  <c r="D20" i="16"/>
  <c r="C15" i="16"/>
  <c r="C18" i="16"/>
  <c r="C12" i="16"/>
  <c r="E13" i="16"/>
  <c r="E15" i="16"/>
  <c r="B13" i="16"/>
  <c r="B19" i="16"/>
  <c r="B20" i="16"/>
  <c r="B12" i="16"/>
  <c r="C13" i="16"/>
  <c r="C17" i="16"/>
  <c r="C19" i="16"/>
  <c r="C20" i="16"/>
  <c r="F20" i="16"/>
  <c r="F19" i="16"/>
  <c r="F18" i="16"/>
  <c r="F17" i="16"/>
  <c r="F15" i="16"/>
  <c r="F13" i="16"/>
  <c r="F12" i="16"/>
  <c r="E17" i="16"/>
  <c r="E18" i="16"/>
  <c r="E19" i="16"/>
  <c r="E20" i="16"/>
  <c r="B13" i="7"/>
  <c r="B19" i="7"/>
  <c r="B14" i="7"/>
  <c r="B12" i="7"/>
  <c r="D15" i="7"/>
  <c r="D17" i="7" s="1"/>
  <c r="C15" i="7"/>
  <c r="C17" i="7" s="1"/>
  <c r="D17" i="16" l="1"/>
  <c r="D13" i="16"/>
  <c r="D12" i="16"/>
  <c r="D19" i="16"/>
  <c r="B20" i="7"/>
  <c r="I14" i="16"/>
  <c r="D18" i="16"/>
  <c r="D15" i="16"/>
  <c r="E14" i="8"/>
  <c r="D14" i="8"/>
  <c r="G15" i="16"/>
  <c r="G20" i="16"/>
  <c r="G19" i="16"/>
  <c r="G17" i="16"/>
  <c r="C21" i="16"/>
  <c r="B21" i="16"/>
  <c r="G18" i="16"/>
  <c r="E21" i="16"/>
  <c r="G13" i="16"/>
  <c r="G12" i="16"/>
  <c r="H20" i="16"/>
  <c r="H19" i="16"/>
  <c r="H18" i="16"/>
  <c r="H17" i="16"/>
  <c r="H15" i="16"/>
  <c r="H13" i="16"/>
  <c r="H12" i="16"/>
  <c r="F21" i="16"/>
  <c r="D16" i="7"/>
  <c r="D11" i="7"/>
  <c r="D13" i="7"/>
  <c r="D19" i="7"/>
  <c r="D12" i="7"/>
  <c r="D14" i="7"/>
  <c r="C19" i="7"/>
  <c r="C12" i="7"/>
  <c r="C14" i="7"/>
  <c r="C16" i="7"/>
  <c r="C11" i="7"/>
  <c r="C13" i="7"/>
  <c r="M14" i="7" l="1"/>
  <c r="M15" i="7"/>
  <c r="M16" i="7"/>
  <c r="M12" i="7"/>
  <c r="M11" i="7"/>
  <c r="M19" i="7"/>
  <c r="M13" i="7"/>
  <c r="M14" i="16"/>
  <c r="M19" i="16"/>
  <c r="M12" i="16"/>
  <c r="M15" i="16"/>
  <c r="M18" i="16"/>
  <c r="M20" i="16"/>
  <c r="M13" i="16"/>
  <c r="M17" i="16"/>
  <c r="D21" i="16"/>
  <c r="G21" i="16"/>
  <c r="H21" i="16"/>
  <c r="I20" i="16"/>
  <c r="I19" i="16"/>
  <c r="I18" i="16"/>
  <c r="I17" i="16"/>
  <c r="I15" i="16"/>
  <c r="I13" i="16"/>
  <c r="I12" i="16"/>
  <c r="C20" i="7"/>
  <c r="M20" i="7" l="1"/>
  <c r="M21" i="16"/>
  <c r="I21" i="16"/>
  <c r="E15" i="7" l="1"/>
  <c r="E17" i="7" s="1"/>
  <c r="G15" i="7"/>
  <c r="G17" i="7" s="1"/>
  <c r="F16" i="7" l="1"/>
  <c r="F11" i="7"/>
  <c r="F13" i="7"/>
  <c r="F19" i="7"/>
  <c r="F12" i="7"/>
  <c r="F14" i="7"/>
  <c r="G19" i="7"/>
  <c r="G12" i="7"/>
  <c r="G14" i="7"/>
  <c r="G16" i="7"/>
  <c r="G11" i="7"/>
  <c r="G13" i="7"/>
  <c r="E19" i="7"/>
  <c r="E12" i="7"/>
  <c r="E14" i="7"/>
  <c r="E16" i="7"/>
  <c r="E11" i="7"/>
  <c r="E13" i="7"/>
  <c r="F14" i="8" l="1"/>
  <c r="I15" i="7"/>
  <c r="I17" i="7" s="1"/>
  <c r="H15" i="7"/>
  <c r="H17" i="7" s="1"/>
  <c r="G14" i="8" l="1"/>
  <c r="H16" i="7"/>
  <c r="H11" i="7"/>
  <c r="H13" i="7"/>
  <c r="H19" i="7"/>
  <c r="H12" i="7"/>
  <c r="H14" i="7"/>
  <c r="I19" i="7"/>
  <c r="I12" i="7"/>
  <c r="I14" i="7"/>
  <c r="I16" i="7"/>
  <c r="I11" i="7"/>
  <c r="I13" i="7"/>
  <c r="E21" i="12" l="1"/>
  <c r="F10" i="12"/>
  <c r="F11" i="12" s="1"/>
  <c r="F21" i="12" l="1"/>
  <c r="G10" i="12"/>
  <c r="G11" i="12" s="1"/>
  <c r="E22" i="13"/>
  <c r="E21" i="13"/>
  <c r="E20" i="13"/>
  <c r="F12" i="13"/>
  <c r="F11" i="13"/>
  <c r="F10" i="13"/>
  <c r="F9" i="13"/>
  <c r="F7" i="13"/>
  <c r="F6" i="13"/>
  <c r="F5" i="13"/>
  <c r="G21" i="12" l="1"/>
  <c r="H10" i="12"/>
  <c r="H11" i="12" s="1"/>
  <c r="H21" i="12" l="1"/>
  <c r="I21" i="12" l="1"/>
  <c r="B17" i="8" l="1"/>
  <c r="C9" i="8" l="1"/>
  <c r="C10" i="8"/>
  <c r="D9" i="8"/>
  <c r="D10" i="8"/>
  <c r="E10" i="8" l="1"/>
  <c r="E9" i="8"/>
  <c r="C17" i="8"/>
  <c r="D17" i="8"/>
  <c r="E17" i="8" l="1"/>
  <c r="F10" i="8"/>
  <c r="F9" i="8"/>
  <c r="G10" i="8" l="1"/>
  <c r="G9" i="8"/>
  <c r="F17" i="8"/>
  <c r="G17" i="8" l="1"/>
  <c r="G20" i="7" l="1"/>
  <c r="I20" i="7" l="1"/>
  <c r="D20" i="7"/>
  <c r="E20" i="7"/>
  <c r="H20" i="7"/>
  <c r="F20" i="7"/>
</calcChain>
</file>

<file path=xl/comments1.xml><?xml version="1.0" encoding="utf-8"?>
<comments xmlns="http://schemas.openxmlformats.org/spreadsheetml/2006/main">
  <authors>
    <author>GoodM</author>
  </authors>
  <commentList>
    <comment ref="A9" authorId="0" shapeId="0">
      <text>
        <r>
          <rPr>
            <b/>
            <sz val="9"/>
            <color indexed="81"/>
            <rFont val="Tahoma"/>
            <family val="2"/>
          </rPr>
          <t>GoodM:</t>
        </r>
        <r>
          <rPr>
            <sz val="9"/>
            <color indexed="81"/>
            <rFont val="Tahoma"/>
            <family val="2"/>
          </rPr>
          <t xml:space="preserve">
</t>
        </r>
      </text>
    </comment>
  </commentList>
</comments>
</file>

<file path=xl/sharedStrings.xml><?xml version="1.0" encoding="utf-8"?>
<sst xmlns="http://schemas.openxmlformats.org/spreadsheetml/2006/main" count="565" uniqueCount="292">
  <si>
    <t xml:space="preserve">                                    BẬC
THỂ LOẠI </t>
  </si>
  <si>
    <t>Bậc 1</t>
  </si>
  <si>
    <t>Bậc 2</t>
  </si>
  <si>
    <t>Bậc 3</t>
  </si>
  <si>
    <t>Bậc 4</t>
  </si>
  <si>
    <t>Bậc 5</t>
  </si>
  <si>
    <t>Ghi chú</t>
  </si>
  <si>
    <t xml:space="preserve">- Chỉ đạo nội dung </t>
  </si>
  <si>
    <t xml:space="preserve">- Chịu trách nhiệm thực hiện </t>
  </si>
  <si>
    <t>100%</t>
  </si>
  <si>
    <t>- Biên tập</t>
  </si>
  <si>
    <t xml:space="preserve">- Tổ chức sản xuất </t>
  </si>
  <si>
    <t>ĐỀ XUẤT</t>
  </si>
  <si>
    <t xml:space="preserve">- Phát thanh viên </t>
  </si>
  <si>
    <t>STT</t>
  </si>
  <si>
    <t>-  Chịu trách nhiệm kỹ thuật</t>
  </si>
  <si>
    <t>Bậc 6</t>
  </si>
  <si>
    <t>Bậc 7</t>
  </si>
  <si>
    <t>Bậc 8</t>
  </si>
  <si>
    <t>- Kịch bản</t>
  </si>
  <si>
    <t xml:space="preserve">                                    BẬC
CHỨC DANH</t>
  </si>
  <si>
    <t>GHI CHÚ</t>
  </si>
  <si>
    <t>đồng</t>
  </si>
  <si>
    <t xml:space="preserve">Đơn vị tính 1 hệ số : </t>
  </si>
  <si>
    <t>Cộng</t>
  </si>
  <si>
    <t>- Dựng</t>
  </si>
  <si>
    <t>- Ghép nhạc</t>
  </si>
  <si>
    <t>C. BAREM THỂ LOẠI CHÍNH LUẬN (NHÓM 2)</t>
  </si>
  <si>
    <t>HS: 3-10 (khung 1-30)</t>
  </si>
  <si>
    <t xml:space="preserve">                  Phát lại không tính thêm nhuận bút</t>
  </si>
  <si>
    <t xml:space="preserve">Giá trị đơn vị hệ số : </t>
  </si>
  <si>
    <t>I./ NHÂN SỰ CHẾ TÁC</t>
  </si>
  <si>
    <t>CHỨC DANH</t>
  </si>
  <si>
    <t>Số lượng (người)</t>
  </si>
  <si>
    <t>Chỉ đạo nội dung</t>
  </si>
  <si>
    <t>Chịu trách nhiệm thực hiện</t>
  </si>
  <si>
    <t>Chịu trách nhiệm kỹ thuật</t>
  </si>
  <si>
    <t>khoán</t>
  </si>
  <si>
    <t>CỘNG I</t>
  </si>
  <si>
    <t>II./ EKIP CHƯƠNG TRÌNH</t>
  </si>
  <si>
    <t>Biên tập</t>
  </si>
  <si>
    <t>Kịch bản</t>
  </si>
  <si>
    <t xml:space="preserve">Quay phim </t>
  </si>
  <si>
    <t>Kỹ thuật</t>
  </si>
  <si>
    <t>CỘNG II</t>
  </si>
  <si>
    <t>III./ TỔ CHỨC THỰC HIỆN VÀ HẬU KỲ</t>
  </si>
  <si>
    <t xml:space="preserve">Chủ nhiệm </t>
  </si>
  <si>
    <t>Tổ chức kỹ thuật</t>
  </si>
  <si>
    <t>CỘNG III</t>
  </si>
  <si>
    <t>CỘNG I+II+III+:</t>
  </si>
  <si>
    <t>Ghi chú:</t>
  </si>
  <si>
    <t>(Đơn giá trên chỉ đề ra mức nhuận bút 1 người/ chức danh)</t>
  </si>
  <si>
    <t>Chương trình có phát sinh chức danh nào thì tính tiền chức danh đó</t>
  </si>
  <si>
    <t>Số lượng người thực hiện do người duyệt kế hoạch quyết định</t>
  </si>
  <si>
    <t xml:space="preserve">              CHỨC DANH</t>
  </si>
  <si>
    <t xml:space="preserve">                   CHỨC DANH</t>
  </si>
  <si>
    <t xml:space="preserve">Dẫn chương trình </t>
  </si>
  <si>
    <t>Thư ký (trực điện thoại)</t>
  </si>
  <si>
    <t>Video clip tính theo bậc phóng sự</t>
  </si>
  <si>
    <t>Đi xe cơ quan thì công tác phí tính theo công lệnh</t>
  </si>
  <si>
    <t>Đơn vị 1 hệ số:</t>
  </si>
  <si>
    <t xml:space="preserve">                                    BẬC
THỂ LOẠI</t>
  </si>
  <si>
    <t>Bán kính từ 10-20 km</t>
  </si>
  <si>
    <t>Bán kính từ 20-40 km</t>
  </si>
  <si>
    <t>Bán kính từ 40-60 km</t>
  </si>
  <si>
    <t>Phụ cấp khu vực bài/phóng sự:</t>
  </si>
  <si>
    <t>Đối với phụ cấp tin được hưởng 50% phụ cấp bài/phóng theo từng khu vực</t>
  </si>
  <si>
    <t>Số xăng được cấp/km</t>
  </si>
  <si>
    <t>Số km</t>
  </si>
  <si>
    <t>Thành tiền (đồng)</t>
  </si>
  <si>
    <t>Giá xăng tại thời điểm ban hành (đồng/lít)</t>
  </si>
  <si>
    <t>Khu vực tính từ trụ sở của Đài</t>
  </si>
  <si>
    <t>Trong tỉnh</t>
  </si>
  <si>
    <t xml:space="preserve">Ngoài tỉnh </t>
  </si>
  <si>
    <t>Khu vực ĐBSCL</t>
  </si>
  <si>
    <t>Khu vực Miền Đông trở ra</t>
  </si>
  <si>
    <t>Phụ cấp lưu trú/ngày</t>
  </si>
  <si>
    <t>Thành tiền (đồng/ngày /người)</t>
  </si>
  <si>
    <t>Thành tiền (đồng/ngày/ người)</t>
  </si>
  <si>
    <t xml:space="preserve">                      Phụ cấp công tác phí tính theo số ngày và số người thực tế đi làm.</t>
  </si>
  <si>
    <r>
      <rPr>
        <b/>
        <u/>
        <sz val="12"/>
        <rFont val="Times New Roman"/>
        <family val="1"/>
      </rPr>
      <t>Ghi chú</t>
    </r>
    <r>
      <rPr>
        <b/>
        <sz val="12"/>
        <rFont val="Times New Roman"/>
        <family val="1"/>
      </rPr>
      <t xml:space="preserve">:  </t>
    </r>
    <r>
      <rPr>
        <sz val="12"/>
        <rFont val="Times New Roman"/>
        <family val="1"/>
      </rPr>
      <t>tất cả các chương trình nếu đi xe cơ quan thì hưởng phụ cấp lưu trú và thanh toán phòng nghĩ tại nơi công tác theo Quy chế chi tiêu nội bộ</t>
    </r>
  </si>
  <si>
    <t xml:space="preserve">                      Đối với sản phẩm đi nhiều hơn 1 ngày (khu vực ngoài tỉnh) sẽ được cộng thêm phụ cấp lưu trú theo số ngày thực tế và thanh toán phòng nghỉ theo Quy chế chi tiêu nội bộ</t>
  </si>
  <si>
    <t xml:space="preserve">                      Đối với sản phẩm được thanh toán chi phí đi lại bằng vé xe, tàu, máy bay…chỉ được thanh toán phụ cấp lưu trú và thanh toán phòng nghỉ theo Quy chế chi tiêu nội bộ</t>
  </si>
  <si>
    <t>I. PHỤ CẤP CÔNG TÁC PHÍ THỂ LOẠI TẠP CHÍ, CHUYÊN ĐỀ, KÝ SỰ, PHIM TÀI LIỆU, TRUYỀN HÌNH TRỰC TIẾP, THU HÌNH, LIVESTREAM…….</t>
  </si>
  <si>
    <r>
      <rPr>
        <b/>
        <i/>
        <u/>
        <sz val="12"/>
        <color theme="1"/>
        <rFont val="Times New Roman"/>
        <family val="1"/>
      </rPr>
      <t>Ghi chú:</t>
    </r>
    <r>
      <rPr>
        <i/>
        <sz val="12"/>
        <color theme="1"/>
        <rFont val="Times New Roman"/>
        <family val="1"/>
      </rPr>
      <t xml:space="preserve"> 0,2 lít/km căn cứ điểm b khoản 2 điều 5 thông tư số 40/2017/TT-BTC quy định chế độ công tác phí, chế độ chi hội nghị</t>
    </r>
  </si>
  <si>
    <t>II. PHỤ CẤP CÔNG TÁC PHÍ THỂ LOẠI TIN, BÀI, PHÓNG SỰ NGẮN,…</t>
  </si>
  <si>
    <t>7 ngày vui khỏe</t>
  </si>
  <si>
    <t>Chuyện đời chuyện người</t>
  </si>
  <si>
    <t>Câu chuyện nhân cảm</t>
  </si>
  <si>
    <t>Sống đẹp</t>
  </si>
  <si>
    <t>Trãi nghiệm bốn phương</t>
  </si>
  <si>
    <t>896 kết nối</t>
  </si>
  <si>
    <t>Cộng:</t>
  </si>
  <si>
    <r>
      <rPr>
        <b/>
        <u/>
        <sz val="13"/>
        <color theme="1"/>
        <rFont val="Times New Roman"/>
        <family val="1"/>
      </rPr>
      <t>Ghi chú:</t>
    </r>
    <r>
      <rPr>
        <sz val="13"/>
        <color theme="1"/>
        <rFont val="Times New Roman"/>
        <family val="1"/>
      </rPr>
      <t xml:space="preserve">  </t>
    </r>
  </si>
  <si>
    <t>CÁC BẢN TIN:</t>
  </si>
  <si>
    <t>Thể loại: Phóng sự (nhóm 3): Phát thanh</t>
  </si>
  <si>
    <t>Tin (nhóm 1): Phát thanh</t>
  </si>
  <si>
    <t>BAREM THỂ LOẠI: PHÓNG SỰ (KÝ); CHÍNH LUẬN: Phát thanh</t>
  </si>
  <si>
    <t>B. BAREM CHƯƠNG TRÌNH PHÁT THANH CÓ HÌNH:</t>
  </si>
  <si>
    <t>Kỹ thuật trung tâm và đạo diễn trung tâm nếu chương trình tại nhà hát thì không tính tiền, chỉ tính đối với chương trình bên ngoài tùy độ khó chương trình</t>
  </si>
  <si>
    <t xml:space="preserve">Đạo diễn </t>
  </si>
  <si>
    <t xml:space="preserve">                                        PHỤ LỤC </t>
  </si>
  <si>
    <t>(Đính kèm theo Quyết định số:   /QĐ-ĐPTTH  ngày  tháng     năm 2025)</t>
  </si>
  <si>
    <t xml:space="preserve"> </t>
  </si>
  <si>
    <t>CHUYÊN ĐỀ PHÁT THANH:</t>
  </si>
  <si>
    <t>CHƯƠNG TRÌNH PHÁT THANH:</t>
  </si>
  <si>
    <t>(Thời lượng: 30'-150')</t>
  </si>
  <si>
    <r>
      <rPr>
        <u/>
        <sz val="13"/>
        <color theme="1"/>
        <rFont val="Times New Roman"/>
        <family val="1"/>
      </rPr>
      <t>Ghi chú</t>
    </r>
    <r>
      <rPr>
        <sz val="13"/>
        <color theme="1"/>
        <rFont val="Times New Roman"/>
        <family val="1"/>
      </rPr>
      <t>: Hiện tại kỹ thuật dựng tính theo ca của kỹ thuật. Tuy nhiên về sau nếu cá nhân ngoài nhóm KTCN sẽ được chi trả cho từng chương trình</t>
    </r>
  </si>
  <si>
    <t>IX. Chương trình khai thác từ truyền hình:</t>
  </si>
  <si>
    <t xml:space="preserve">- Biên tập: </t>
  </si>
  <si>
    <t>-Kỹ thuật dựng:</t>
  </si>
  <si>
    <t>Tỷ lệ thời lượng khai thác lại tư liệu</t>
  </si>
  <si>
    <t>đến 30%</t>
  </si>
  <si>
    <t>trên 30% đến 40%</t>
  </si>
  <si>
    <t>trên 40% đến 50%</t>
  </si>
  <si>
    <t>trên 50% đến 60%</t>
  </si>
  <si>
    <t>trên 60% đến 70%</t>
  </si>
  <si>
    <t>Trên 70%</t>
  </si>
  <si>
    <t>-Phát thanh viên (nếu có):</t>
  </si>
  <si>
    <t>10% BT</t>
  </si>
  <si>
    <t>20% BT</t>
  </si>
  <si>
    <t>PT</t>
  </si>
  <si>
    <t>TH</t>
  </si>
  <si>
    <t>Phóng sự chính luận  5'</t>
  </si>
  <si>
    <t>30 phút</t>
  </si>
  <si>
    <t>30-60 phút</t>
  </si>
  <si>
    <t>15 phút</t>
  </si>
  <si>
    <t>5 phút</t>
  </si>
  <si>
    <t>10-15 phút</t>
  </si>
  <si>
    <t>60 phút</t>
  </si>
  <si>
    <t>120 phút</t>
  </si>
  <si>
    <t>10 phút</t>
  </si>
  <si>
    <t>75-150 phút</t>
  </si>
  <si>
    <t>1-2 phút</t>
  </si>
  <si>
    <t>5-15 phút</t>
  </si>
  <si>
    <t>15-30 phút</t>
  </si>
  <si>
    <t>CÁC CHƯƠNG TRÌNH CỦA PHÒNG PHÁT THANH</t>
  </si>
  <si>
    <t>I. Chương trình thời sự, chính luận ( 30-60’)</t>
  </si>
  <si>
    <t>TÊN CHƯƠNG TRÌNH</t>
  </si>
  <si>
    <t>MỨC ĐỘ CÔNG VIỆC</t>
  </si>
  <si>
    <t>THỜI LƯỢNG</t>
  </si>
  <si>
    <t>Thời sự sáng, trưa, chiều (khai thác tin, bài từ TH, TTX, VOV, …). Thời lượng: 30’</t>
  </si>
  <si>
    <t>Thời sự chuyên đề + livestreams có hình (tự sản xuất) Thời lượng: 30 - 60’</t>
  </si>
  <si>
    <t>II.Các bản tin, chuyên đề, chuyên mục chính luận, khoa giáo ( 5’- 30’)</t>
  </si>
  <si>
    <t>Chương trình tam nông (30’)</t>
  </si>
  <si>
    <t>Bản tin Phòng chống thiên tai dịch bệnh (15’)</t>
  </si>
  <si>
    <t xml:space="preserve">Bản tin Thông tin thiết yếu (15’) </t>
  </si>
  <si>
    <t>Tạp chí ứng dụng dữ liệu dân cư và định danh điện tử (5’)</t>
  </si>
  <si>
    <t>Hợp tác tuyên truyền</t>
  </si>
  <si>
    <t>Chuyên đề, chuyên mục đặt hàng: Dạy nghề, việc làm, giảm nghèo, Chương trình tiếng khơmer,… (10 -15’)</t>
  </si>
  <si>
    <t>III.Các chương trình phát thanh có hình ( 30 - 60’)</t>
  </si>
  <si>
    <t>Chuyện đời chuyện nghề (60’)</t>
  </si>
  <si>
    <t>A lo bác sĩ ơi (60’)</t>
  </si>
  <si>
    <t xml:space="preserve">IV. Chương trình khoa giáo, giải trí  </t>
  </si>
  <si>
    <t xml:space="preserve">Nhịp sống 896 (đã có các tiểu mục): 120’ </t>
  </si>
  <si>
    <t>đã có các tiểu mục</t>
  </si>
  <si>
    <t>An Ninh 896 (15’)</t>
  </si>
  <si>
    <t>Noi theo Gương sáng Bác Hồ (15’)</t>
  </si>
  <si>
    <t>Tuổi cao gương sáng (15’)</t>
  </si>
  <si>
    <t>Lãng đãng dấu xưa (15’)</t>
  </si>
  <si>
    <t>Nam giới ngày nay (15’)</t>
  </si>
  <si>
    <t>Điều con muốn (15’)</t>
  </si>
  <si>
    <t>Phụ nữ và cuộc sống (15’)</t>
  </si>
  <si>
    <t>7 ngày vui khỏe (10’ - 15’)</t>
  </si>
  <si>
    <t>Chuyện đời, chuyện nghề (10’)</t>
  </si>
  <si>
    <t>Câu chuyện nhân cảm (10’)</t>
  </si>
  <si>
    <t>Sống đẹp (10’)</t>
  </si>
  <si>
    <t>Trãi nghiệm 4 phương (10’)</t>
  </si>
  <si>
    <t>896 kết nối (10’)</t>
  </si>
  <si>
    <t xml:space="preserve">Phát luật và công dân </t>
  </si>
  <si>
    <t xml:space="preserve">Hợp tác tuyên truyền </t>
  </si>
  <si>
    <t>V. Chương trình giải trí có kết nối + livestream</t>
  </si>
  <si>
    <t>Tài tử miệt vườn (60’)</t>
  </si>
  <si>
    <t>Tài tử Phương Nam (60’)</t>
  </si>
  <si>
    <t>VI. Chương trình giải trí</t>
  </si>
  <si>
    <t>Tâm sự đời tôi (60’)</t>
  </si>
  <si>
    <t>Ký ức hào hùng (30’)</t>
  </si>
  <si>
    <t>Ca cổ (30’)</t>
  </si>
  <si>
    <t>Sân khấu ( 75 -150’)</t>
  </si>
  <si>
    <t>Văn nghệ thiếu nhi (30’</t>
  </si>
  <si>
    <t>Nhạc quê hương (30’)</t>
  </si>
  <si>
    <t>Rubic âm nhạc (30’)</t>
  </si>
  <si>
    <t>VII. Giới thiệu chương trình + Thông báo</t>
  </si>
  <si>
    <t>Giới thiệu chương trình phát sóng (5’)</t>
  </si>
  <si>
    <t>Thông báo (1-2’)</t>
  </si>
  <si>
    <t>Trailer quảng bá chương        (1 -2’)</t>
  </si>
  <si>
    <t>VIII. Tiểu phẩm, câu chuyện truyền thanh</t>
  </si>
  <si>
    <t>Tiểu phẩm ( 5-15’)</t>
  </si>
  <si>
    <t>Câu chuyện truyền thanh (15 -30’)</t>
  </si>
  <si>
    <t xml:space="preserve">Chuyện quê mình </t>
  </si>
  <si>
    <t>Hành trình cung bậc phương Nam</t>
  </si>
  <si>
    <t xml:space="preserve">Ký sự vùng biên  </t>
  </si>
  <si>
    <r>
      <t xml:space="preserve"> </t>
    </r>
    <r>
      <rPr>
        <i/>
        <sz val="14"/>
        <color theme="1"/>
        <rFont val="Times New Roman"/>
        <family val="1"/>
      </rPr>
      <t>(Biên tập nhẹ hơn dẫn chương trình)</t>
    </r>
  </si>
  <si>
    <r>
      <t xml:space="preserve">IX. Chương trình </t>
    </r>
    <r>
      <rPr>
        <b/>
        <u/>
        <sz val="14"/>
        <color theme="1"/>
        <rFont val="Times New Roman"/>
        <family val="1"/>
      </rPr>
      <t>khai thác từ truyền hình</t>
    </r>
    <r>
      <rPr>
        <b/>
        <sz val="14"/>
        <color theme="1"/>
        <rFont val="Times New Roman"/>
        <family val="1"/>
      </rPr>
      <t xml:space="preserve"> biên tập cho phát thanh</t>
    </r>
  </si>
  <si>
    <r>
      <t xml:space="preserve">Sắc màu văn học (đọc truyện): 30’ </t>
    </r>
    <r>
      <rPr>
        <i/>
        <sz val="14"/>
        <color theme="1"/>
        <rFont val="Times New Roman"/>
        <family val="1"/>
      </rPr>
      <t xml:space="preserve">(Biên tập nhẹ hơn đọc); </t>
    </r>
    <r>
      <rPr>
        <i/>
        <sz val="14"/>
        <color rgb="FFFF0000"/>
        <rFont val="Times New Roman"/>
        <family val="1"/>
      </rPr>
      <t>Biên tập:1; Dẫn CT bậc : 2</t>
    </r>
  </si>
  <si>
    <t>-Livestream (khoán)</t>
  </si>
  <si>
    <t>-Thư ký (khoán)</t>
  </si>
  <si>
    <t>-Thẩm định (Khoán)</t>
  </si>
  <si>
    <t>Hiện tại (đang tính): Bản tin thời sự sáng, trưa chiều (phát thanh)</t>
  </si>
  <si>
    <t>(Tỷ lệ chiếm 50% so với Truyền hình)</t>
  </si>
  <si>
    <t>Phát thanh chiếm 50% của truyền hình</t>
  </si>
  <si>
    <t>Tạp chí</t>
  </si>
  <si>
    <t>Mức cũ:150.000đ</t>
  </si>
  <si>
    <t>Mức cũ: 90.000đ</t>
  </si>
  <si>
    <t>Mức cũ: 30.000đ</t>
  </si>
  <si>
    <t>CỘNG:</t>
  </si>
  <si>
    <t>mức cũ</t>
  </si>
  <si>
    <t xml:space="preserve">BT: </t>
  </si>
  <si>
    <t xml:space="preserve">            </t>
  </si>
  <si>
    <t xml:space="preserve">                                          
CHỨC DANH</t>
  </si>
  <si>
    <r>
      <t xml:space="preserve">Tiết mục </t>
    </r>
    <r>
      <rPr>
        <b/>
        <sz val="13"/>
        <color rgb="FFC00000"/>
        <rFont val="Times New Roman"/>
        <family val="1"/>
      </rPr>
      <t>(khoán)</t>
    </r>
  </si>
  <si>
    <r>
      <t xml:space="preserve">BẢN TIN PHÁT THANH TRỰC TIẾP </t>
    </r>
    <r>
      <rPr>
        <sz val="13"/>
        <color theme="1"/>
        <rFont val="Times New Roman"/>
        <family val="1"/>
      </rPr>
      <t>(Áp dụng tại theo Bản tin TTTH, phát thanh chiếm 60% thể loại truyền hình)</t>
    </r>
  </si>
  <si>
    <t>I. Chương trình thời sự, chính luận (thời lượng: 30'-60')</t>
  </si>
  <si>
    <t>{Chương trình Nhịp sống 896 (thời lượng: 120')}</t>
  </si>
  <si>
    <t>Hiện tại (đang tính):</t>
  </si>
  <si>
    <t>120.000/ người</t>
  </si>
  <si>
    <t>Thị trường chuyển động</t>
  </si>
  <si>
    <t>Mức cũ: 30.000đ-58.000đ</t>
  </si>
  <si>
    <t>Tỷ lệ chiếm so với tổng</t>
  </si>
  <si>
    <t>Khoán 0,3</t>
  </si>
  <si>
    <t>Khoán 0,18</t>
  </si>
  <si>
    <t xml:space="preserve"> - Thư ký (mức khoán)</t>
  </si>
  <si>
    <t>đề xuất tăng</t>
  </si>
  <si>
    <r>
      <t xml:space="preserve">- Quay phim </t>
    </r>
    <r>
      <rPr>
        <i/>
        <sz val="13"/>
        <color theme="1"/>
        <rFont val="Times New Roman"/>
        <family val="1"/>
      </rPr>
      <t>(nếu có)</t>
    </r>
  </si>
  <si>
    <t xml:space="preserve">                  Trailer giới thiệu tạp chí là nhiệm vụ của biên tập, kịch bản</t>
  </si>
  <si>
    <t>Tin; tin điện thoại; tin phát biểu (cầu trực tiếp)</t>
  </si>
  <si>
    <t>- Biên tập (Tin)</t>
  </si>
  <si>
    <t xml:space="preserve">Phóng sự , phóng sự điều tra </t>
  </si>
  <si>
    <t>- Biên tập (phóng sự)</t>
  </si>
  <si>
    <t xml:space="preserve"> Intro, trailer</t>
  </si>
  <si>
    <t>Video clip</t>
  </si>
  <si>
    <t xml:space="preserve">Tổ chức sản xuất </t>
  </si>
  <si>
    <t>theo sản phẩm</t>
  </si>
  <si>
    <t>tùy cấp độ công việc,  tùy theo thời lượng sẽ có mức khởi điểm khác nhau</t>
  </si>
  <si>
    <t>(Tùy theo thời lượng và mức độ phức tạp sẽ có mức khởi điểm khác nhau)</t>
  </si>
  <si>
    <t>Khoán 0,29</t>
  </si>
  <si>
    <r>
      <rPr>
        <u/>
        <sz val="13"/>
        <color theme="1"/>
        <rFont val="Times New Roman"/>
        <family val="1"/>
      </rPr>
      <t>Ghi chú</t>
    </r>
    <r>
      <rPr>
        <sz val="13"/>
        <color theme="1"/>
        <rFont val="Times New Roman"/>
        <family val="1"/>
      </rPr>
      <t xml:space="preserve">: </t>
    </r>
  </si>
  <si>
    <t>Ct "Tài tử miệt vườn; Tài tử phương nam", TL:  60'</t>
  </si>
  <si>
    <t>-Ban tương tác, kiểm soát</t>
  </si>
  <si>
    <t>khoán 0,18</t>
  </si>
  <si>
    <t>khoán 0,52</t>
  </si>
  <si>
    <t>Mức cũ: 104.000đ</t>
  </si>
  <si>
    <t>Mức cũ: 62.000đ</t>
  </si>
  <si>
    <t>VII. Giới thiệu chương trình+Thông báo:</t>
  </si>
  <si>
    <t xml:space="preserve">V. Chương trình giải trí có kết nối+livestream: </t>
  </si>
  <si>
    <t>đề xuất</t>
  </si>
  <si>
    <t>(Tiểu phẩm; Câu truyện truyền thanh)</t>
  </si>
  <si>
    <t>công biên tập 5':</t>
  </si>
  <si>
    <t>Tiểu phẩm</t>
  </si>
  <si>
    <t>mức cũ:100.000đ</t>
  </si>
  <si>
    <t>GHI CHÚ (tỷ lệ %, xin ý kiến)</t>
  </si>
  <si>
    <t>+Kỹ thuật dựng</t>
  </si>
  <si>
    <t>-Kỹ thuật dựng</t>
  </si>
  <si>
    <t>Bậc 9</t>
  </si>
  <si>
    <t>Bậc 10</t>
  </si>
  <si>
    <t xml:space="preserve">đề xuất PTV bằng tiền với đọc ngoại hình của truyền hình </t>
  </si>
  <si>
    <t>Tin điện thoại; tin phát biểu = bậc tin +20%</t>
  </si>
  <si>
    <t>tin+20%</t>
  </si>
  <si>
    <t>PTV = với PTV truyền hình</t>
  </si>
  <si>
    <t>Truyền hình:</t>
  </si>
  <si>
    <t>VI. Chương trình giải trí:</t>
  </si>
  <si>
    <t>+Chương trình có phát sinh chức danh nào thì tính tiền chức danh đó</t>
  </si>
  <si>
    <t>Thời lượng: 30'-150'</t>
  </si>
  <si>
    <t>II. CÁC BẢN TIN THU SẴN:</t>
  </si>
  <si>
    <t>Thời lượng: 15'-30'</t>
  </si>
  <si>
    <t>IV. Chương trình khoa giáo, giải trí:</t>
  </si>
  <si>
    <t>(Các chương trình: An ninh 896, Noi gương sáng Bác Hồ, Tuổi cao gương sáng; Lãng đãng dấu xưa; Nam giới ngày nay; Điều con muốn; Phụ nữ và cuộc sống); TL :15'</t>
  </si>
  <si>
    <r>
      <rPr>
        <u/>
        <sz val="13"/>
        <color theme="1"/>
        <rFont val="Times New Roman"/>
        <family val="1"/>
      </rPr>
      <t>Quy ước</t>
    </r>
    <r>
      <rPr>
        <sz val="13"/>
        <color theme="1"/>
        <rFont val="Times New Roman"/>
        <family val="1"/>
      </rPr>
      <t>:  Nhịp sống 896: Chức danh Dẫn chương trình=kịch bản+20% (tính trên người)</t>
    </r>
  </si>
  <si>
    <t>"Chuyện đời, chuyện nghề; Alo Bác sĩ ơi; ..."; TL: 60'</t>
  </si>
  <si>
    <t>Tọa đàm/show phát thanh trực tiếp</t>
  </si>
  <si>
    <t>Tỷ lệ này sẽ xin ý kiến</t>
  </si>
  <si>
    <t>Nếu Kịch bản tính căn cứ vào ngày công trên định mức KTKT (BTV hạng III, bậc 3/9), công cho 1 show 60' =2.012.400đ</t>
  </si>
  <si>
    <t>Nếu Kịch bản tính căn cứ vào ngày công trên định mức KTKT (BTV hạng III, bậc 6/9), công cho 1 show 60' =11.629.000đ</t>
  </si>
  <si>
    <t>- Diễn viên (khoán) hoặc tùy vào giá thị trường sẽ có mức chi phù hợp</t>
  </si>
  <si>
    <t xml:space="preserve">- Dẫn chương trình </t>
  </si>
  <si>
    <t xml:space="preserve">-Phat thanh vien </t>
  </si>
  <si>
    <t xml:space="preserve">- Kỹ thuật viên </t>
  </si>
  <si>
    <t>(Gồm: Thời sự phát thanh sáng trưa chiều, thời sự chuyên đề )</t>
  </si>
  <si>
    <t>- Kỹ thuật viên</t>
  </si>
  <si>
    <t>N. sống</t>
  </si>
  <si>
    <t>PTV</t>
  </si>
  <si>
    <t>Đặt hàng; thời lượng: 10'-15'</t>
  </si>
  <si>
    <t>Thực hiện thêm 1 bảng dưới 10'</t>
  </si>
  <si>
    <t>Phóng sự điều tra= Phóng sự +50%</t>
  </si>
  <si>
    <t>p/sự +50%</t>
  </si>
  <si>
    <t>Ghi chú: Tin điện thoại; tin phát biểu sẽ + hoặc trừ</t>
  </si>
  <si>
    <t>- Dẫn chương trình (xem lại)</t>
  </si>
  <si>
    <t>Tính giống truyền hình, dưới 10 phút</t>
  </si>
  <si>
    <t>theo sản phẩm TH</t>
  </si>
  <si>
    <t>TL: 5'-30'</t>
  </si>
  <si>
    <t>-Đạo diễn 40%KB</t>
  </si>
  <si>
    <t>- Kỹ thuật viên :10%BT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</si>
</sst>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_(* #,##0_);_(* \(#,##0\);_(* &quot;-&quot;??_);_(@_)"/>
    <numFmt numFmtId="166" formatCode="#,##0.000"/>
    <numFmt numFmtId="167" formatCode="_(* #,##0.0_);_(* \(#,##0.0\);_(* &quot;-&quot;??_);_(@_)"/>
    <numFmt numFmtId="168" formatCode="0.0"/>
    <numFmt numFmtId="169" formatCode="0.0%"/>
    <numFmt numFmtId="171" formatCode="#,##0.0"/>
  </numFmts>
  <fonts count="64"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2"/>
      <color theme="1"/>
      <name val="Times New Roman"/>
      <family val="1"/>
    </font>
    <font>
      <sz val="11"/>
      <color theme="1"/>
      <name val="Times New Roman"/>
      <family val="1"/>
    </font>
    <font>
      <sz val="12"/>
      <color theme="1"/>
      <name val="Times New Roman"/>
      <family val="1"/>
    </font>
    <font>
      <sz val="12"/>
      <name val="Times New Roman"/>
      <family val="1"/>
    </font>
    <font>
      <b/>
      <sz val="14"/>
      <color theme="1"/>
      <name val="Times New Roman"/>
      <family val="1"/>
    </font>
    <font>
      <sz val="11"/>
      <color rgb="FFFF0000"/>
      <name val="Times New Roman"/>
      <family val="1"/>
    </font>
    <font>
      <sz val="14"/>
      <color theme="1"/>
      <name val="Times New Roman"/>
      <family val="1"/>
    </font>
    <font>
      <i/>
      <sz val="14"/>
      <color theme="1"/>
      <name val="Times New Roman"/>
      <family val="1"/>
    </font>
    <font>
      <b/>
      <sz val="13"/>
      <color theme="1"/>
      <name val="Times New Roman"/>
      <family val="1"/>
    </font>
    <font>
      <i/>
      <sz val="12"/>
      <color theme="1"/>
      <name val="Times New Roman"/>
      <family val="1"/>
    </font>
    <font>
      <sz val="13"/>
      <color theme="1"/>
      <name val="Times New Roman"/>
      <family val="1"/>
    </font>
    <font>
      <i/>
      <sz val="13"/>
      <color theme="1"/>
      <name val="Times New Roman"/>
      <family val="1"/>
    </font>
    <font>
      <sz val="13"/>
      <name val="Times New Roman"/>
      <family val="1"/>
    </font>
    <font>
      <b/>
      <sz val="12"/>
      <color rgb="FF0070C0"/>
      <name val="Times New Roman"/>
      <family val="1"/>
    </font>
    <font>
      <b/>
      <sz val="12"/>
      <name val="Times New Roman"/>
      <family val="1"/>
    </font>
    <font>
      <sz val="12"/>
      <color rgb="FF0070C0"/>
      <name val="Times New Roman"/>
      <family val="1"/>
    </font>
    <font>
      <b/>
      <u/>
      <sz val="12"/>
      <name val="Times New Roman"/>
      <family val="1"/>
    </font>
    <font>
      <b/>
      <u/>
      <sz val="12"/>
      <color theme="1"/>
      <name val="Times New Roman"/>
      <family val="1"/>
    </font>
    <font>
      <b/>
      <sz val="12"/>
      <color rgb="FFFF0000"/>
      <name val="Times New Roman"/>
      <family val="1"/>
    </font>
    <font>
      <b/>
      <sz val="12"/>
      <color theme="0"/>
      <name val="Times New Roman"/>
      <family val="1"/>
    </font>
    <font>
      <sz val="12"/>
      <color rgb="FFFF0000"/>
      <name val="Times New Roman"/>
      <family val="1"/>
    </font>
    <font>
      <b/>
      <sz val="9"/>
      <color indexed="81"/>
      <name val="Tahoma"/>
      <family val="2"/>
    </font>
    <font>
      <sz val="9"/>
      <color indexed="81"/>
      <name val="Tahoma"/>
      <family val="2"/>
    </font>
    <font>
      <b/>
      <sz val="12"/>
      <color rgb="FF000000"/>
      <name val="Times New Roman"/>
      <family val="1"/>
    </font>
    <font>
      <sz val="13"/>
      <color rgb="FF000000"/>
      <name val="Times New Roman"/>
      <family val="1"/>
    </font>
    <font>
      <sz val="11"/>
      <color theme="1"/>
      <name val="Calibri"/>
      <family val="2"/>
    </font>
    <font>
      <sz val="11"/>
      <color rgb="FF0070C0"/>
      <name val="Times New Roman"/>
      <family val="1"/>
    </font>
    <font>
      <sz val="11"/>
      <color rgb="FF000000"/>
      <name val="Times New Roman"/>
      <family val="1"/>
    </font>
    <font>
      <b/>
      <sz val="11"/>
      <color rgb="FF000000"/>
      <name val="Times New Roman"/>
      <family val="1"/>
    </font>
    <font>
      <b/>
      <sz val="11"/>
      <color rgb="FFFF0000"/>
      <name val="Times New Roman"/>
      <family val="1"/>
    </font>
    <font>
      <b/>
      <i/>
      <u/>
      <sz val="12"/>
      <color theme="1"/>
      <name val="Times New Roman"/>
      <family val="1"/>
    </font>
    <font>
      <b/>
      <sz val="11"/>
      <color rgb="FFFF0000"/>
      <name val="Calibri"/>
      <family val="2"/>
      <scheme val="minor"/>
    </font>
    <font>
      <sz val="8"/>
      <name val="Calibri"/>
      <family val="2"/>
      <scheme val="minor"/>
    </font>
    <font>
      <sz val="13"/>
      <color rgb="FFC00000"/>
      <name val="Times New Roman"/>
      <family val="1"/>
    </font>
    <font>
      <sz val="13"/>
      <color theme="6" tint="0.59999389629810485"/>
      <name val="Times New Roman"/>
      <family val="1"/>
    </font>
    <font>
      <i/>
      <sz val="13"/>
      <color rgb="FF002060"/>
      <name val="Times New Roman"/>
      <family val="1"/>
    </font>
    <font>
      <b/>
      <sz val="13"/>
      <name val="Times New Roman"/>
      <family val="1"/>
    </font>
    <font>
      <b/>
      <u/>
      <sz val="13"/>
      <color theme="1"/>
      <name val="Times New Roman"/>
      <family val="1"/>
    </font>
    <font>
      <sz val="12"/>
      <color rgb="FFC00000"/>
      <name val="Times New Roman"/>
      <family val="1"/>
    </font>
    <font>
      <sz val="13"/>
      <color rgb="FFFF0000"/>
      <name val="Times New Roman"/>
      <family val="1"/>
    </font>
    <font>
      <u/>
      <sz val="13"/>
      <color theme="1"/>
      <name val="Times New Roman"/>
      <family val="1"/>
    </font>
    <font>
      <sz val="9"/>
      <color theme="1"/>
      <name val="Times New Roman"/>
      <family val="1"/>
    </font>
    <font>
      <sz val="14"/>
      <color rgb="FFFF0000"/>
      <name val="Times New Roman"/>
      <family val="1"/>
    </font>
    <font>
      <b/>
      <u/>
      <sz val="14"/>
      <color theme="1"/>
      <name val="Times New Roman"/>
      <family val="1"/>
    </font>
    <font>
      <i/>
      <sz val="14"/>
      <color rgb="FFFF0000"/>
      <name val="Times New Roman"/>
      <family val="1"/>
    </font>
    <font>
      <sz val="14"/>
      <name val="Times New Roman"/>
      <family val="1"/>
    </font>
    <font>
      <b/>
      <sz val="13"/>
      <color rgb="FFC00000"/>
      <name val="Times New Roman"/>
      <family val="1"/>
    </font>
    <font>
      <b/>
      <sz val="13"/>
      <color rgb="FFFF0000"/>
      <name val="Times New Roman"/>
      <family val="1"/>
    </font>
    <font>
      <b/>
      <sz val="9"/>
      <color theme="1"/>
      <name val="Times New Roman"/>
      <family val="1"/>
    </font>
    <font>
      <sz val="9"/>
      <color rgb="FFFF0000"/>
      <name val="Times New Roman"/>
      <family val="1"/>
    </font>
    <font>
      <sz val="10"/>
      <color theme="1"/>
      <name val="Times New Roman"/>
      <family val="1"/>
    </font>
    <font>
      <sz val="10"/>
      <color rgb="FFFF0000"/>
      <name val="Times New Roman"/>
      <family val="1"/>
    </font>
    <font>
      <sz val="10"/>
      <color rgb="FFC00000"/>
      <name val="Times New Roman"/>
      <family val="1"/>
    </font>
    <font>
      <b/>
      <sz val="10"/>
      <color theme="1"/>
      <name val="Times New Roman"/>
      <family val="1"/>
    </font>
    <font>
      <strike/>
      <sz val="13"/>
      <name val="Times New Roman"/>
      <family val="1"/>
    </font>
    <font>
      <strike/>
      <sz val="13"/>
      <color theme="1"/>
      <name val="Times New Roman"/>
      <family val="1"/>
    </font>
    <font>
      <sz val="11"/>
      <color rgb="FFC00000"/>
      <name val="Times New Roman"/>
      <family val="1"/>
    </font>
    <font>
      <b/>
      <sz val="13"/>
      <color rgb="FF7030A0"/>
      <name val="Times New Roman"/>
      <family val="1"/>
    </font>
    <font>
      <strike/>
      <sz val="13"/>
      <color rgb="FFFF0000"/>
      <name val="Times New Roman"/>
      <family val="1"/>
    </font>
    <font>
      <strike/>
      <sz val="11"/>
      <color rgb="FF000000"/>
      <name val="Times New Roman"/>
      <family val="1"/>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FFCCFF"/>
        <bgColor indexed="64"/>
      </patternFill>
    </fill>
    <fill>
      <patternFill patternType="solid">
        <fgColor theme="6" tint="0.39997558519241921"/>
        <bgColor indexed="64"/>
      </patternFill>
    </fill>
  </fills>
  <borders count="25">
    <border>
      <left/>
      <right/>
      <top/>
      <bottom/>
      <diagonal/>
    </border>
    <border diagonalDown="1">
      <left style="thin">
        <color indexed="64"/>
      </left>
      <right/>
      <top style="thin">
        <color indexed="64"/>
      </top>
      <bottom/>
      <diagonal style="thin">
        <color indexed="64"/>
      </diagonal>
    </border>
    <border>
      <left style="thin">
        <color indexed="64"/>
      </left>
      <right style="thin">
        <color indexed="64"/>
      </right>
      <top style="thin">
        <color indexed="64"/>
      </top>
      <bottom style="thin">
        <color indexed="64"/>
      </bottom>
      <diagonal/>
    </border>
    <border diagonalDown="1">
      <left style="thin">
        <color indexed="64"/>
      </left>
      <right/>
      <top/>
      <bottom style="thin">
        <color indexed="64"/>
      </bottom>
      <diagonal style="thin">
        <color indexed="64"/>
      </diagonal>
    </border>
    <border>
      <left style="thin">
        <color indexed="64"/>
      </left>
      <right style="thin">
        <color indexed="64"/>
      </right>
      <top/>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right/>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bottom style="thin">
        <color indexed="64"/>
      </bottom>
      <diagonal style="thin">
        <color indexed="64"/>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423">
    <xf numFmtId="0" fontId="0" fillId="0" borderId="0" xfId="0"/>
    <xf numFmtId="0" fontId="2" fillId="0" borderId="0" xfId="0" applyFont="1"/>
    <xf numFmtId="0" fontId="3" fillId="0" borderId="0" xfId="0" applyFont="1"/>
    <xf numFmtId="0" fontId="8"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2" xfId="0" applyFont="1" applyBorder="1" applyAlignment="1">
      <alignment vertical="center" wrapText="1"/>
    </xf>
    <xf numFmtId="0" fontId="12" fillId="0" borderId="2" xfId="0" applyFont="1" applyBorder="1" applyAlignment="1">
      <alignment vertical="center"/>
    </xf>
    <xf numFmtId="0" fontId="4" fillId="0" borderId="7" xfId="0" applyFont="1" applyBorder="1" applyAlignment="1">
      <alignment horizontal="center"/>
    </xf>
    <xf numFmtId="0" fontId="12" fillId="0" borderId="2" xfId="0" applyFont="1" applyBorder="1" applyAlignment="1">
      <alignment horizontal="center"/>
    </xf>
    <xf numFmtId="0" fontId="12" fillId="0" borderId="2" xfId="0" applyFont="1" applyBorder="1" applyAlignment="1">
      <alignment horizontal="center" vertical="center"/>
    </xf>
    <xf numFmtId="165" fontId="6" fillId="0" borderId="2" xfId="1" applyNumberFormat="1" applyFont="1" applyFill="1" applyBorder="1"/>
    <xf numFmtId="165" fontId="6" fillId="2" borderId="2" xfId="1" applyNumberFormat="1" applyFont="1" applyFill="1" applyBorder="1"/>
    <xf numFmtId="164" fontId="12" fillId="0" borderId="2" xfId="1" applyFont="1" applyFill="1" applyBorder="1" applyAlignment="1">
      <alignment horizontal="center" vertical="center"/>
    </xf>
    <xf numFmtId="0" fontId="6" fillId="0" borderId="0" xfId="0" applyFont="1"/>
    <xf numFmtId="0" fontId="4" fillId="0" borderId="0" xfId="0" applyFont="1"/>
    <xf numFmtId="165" fontId="4" fillId="0" borderId="0" xfId="1" applyNumberFormat="1" applyFont="1" applyFill="1"/>
    <xf numFmtId="0" fontId="4" fillId="0" borderId="2" xfId="0" applyFont="1" applyBorder="1" applyAlignment="1">
      <alignment horizontal="center"/>
    </xf>
    <xf numFmtId="0" fontId="4" fillId="0" borderId="2" xfId="0" applyFont="1" applyBorder="1" applyAlignment="1">
      <alignment horizontal="center" vertical="center"/>
    </xf>
    <xf numFmtId="0" fontId="14" fillId="0" borderId="0" xfId="0" applyFont="1"/>
    <xf numFmtId="9" fontId="14" fillId="0" borderId="0" xfId="2" applyFont="1" applyFill="1" applyAlignment="1">
      <alignment horizontal="center"/>
    </xf>
    <xf numFmtId="0" fontId="12" fillId="0" borderId="0" xfId="0" applyFont="1"/>
    <xf numFmtId="9" fontId="12" fillId="0" borderId="0" xfId="2" applyFont="1" applyFill="1" applyAlignment="1">
      <alignment horizontal="center"/>
    </xf>
    <xf numFmtId="3" fontId="12" fillId="0" borderId="0" xfId="0" applyNumberFormat="1" applyFont="1" applyAlignment="1">
      <alignment vertical="top"/>
    </xf>
    <xf numFmtId="9" fontId="12" fillId="0" borderId="0" xfId="2" applyFont="1" applyFill="1" applyAlignment="1">
      <alignment horizontal="center" vertical="top"/>
    </xf>
    <xf numFmtId="165" fontId="12" fillId="0" borderId="0" xfId="1" applyNumberFormat="1" applyFont="1" applyFill="1"/>
    <xf numFmtId="0" fontId="12" fillId="0" borderId="0" xfId="0" applyFont="1" applyAlignment="1">
      <alignment horizontal="center" vertical="center"/>
    </xf>
    <xf numFmtId="0" fontId="14" fillId="0" borderId="2" xfId="0" quotePrefix="1" applyFont="1" applyBorder="1" applyAlignment="1">
      <alignment horizontal="left" wrapText="1"/>
    </xf>
    <xf numFmtId="165" fontId="14" fillId="0" borderId="2" xfId="1" applyNumberFormat="1" applyFont="1" applyFill="1" applyBorder="1"/>
    <xf numFmtId="9" fontId="14" fillId="0" borderId="2" xfId="2" applyFont="1" applyFill="1" applyBorder="1" applyAlignment="1">
      <alignment horizontal="center" wrapText="1"/>
    </xf>
    <xf numFmtId="0" fontId="14" fillId="0" borderId="2" xfId="0" quotePrefix="1" applyFont="1" applyBorder="1"/>
    <xf numFmtId="9" fontId="14" fillId="0" borderId="2" xfId="2" quotePrefix="1" applyFont="1" applyFill="1" applyBorder="1" applyAlignment="1">
      <alignment horizontal="center" wrapText="1"/>
    </xf>
    <xf numFmtId="3" fontId="14" fillId="0" borderId="15" xfId="0" applyNumberFormat="1" applyFont="1" applyBorder="1" applyAlignment="1">
      <alignment wrapText="1"/>
    </xf>
    <xf numFmtId="9" fontId="14" fillId="0" borderId="15" xfId="2" applyFont="1" applyFill="1" applyBorder="1" applyAlignment="1">
      <alignment horizontal="center" wrapText="1"/>
    </xf>
    <xf numFmtId="165" fontId="14" fillId="0" borderId="6" xfId="1" applyNumberFormat="1" applyFont="1" applyFill="1" applyBorder="1"/>
    <xf numFmtId="3" fontId="14" fillId="0" borderId="6" xfId="0" applyNumberFormat="1" applyFont="1" applyBorder="1" applyAlignment="1">
      <alignment wrapText="1"/>
    </xf>
    <xf numFmtId="166" fontId="15" fillId="0" borderId="6" xfId="0" applyNumberFormat="1" applyFont="1" applyBorder="1" applyAlignment="1">
      <alignment horizontal="right" wrapText="1"/>
    </xf>
    <xf numFmtId="9" fontId="14" fillId="0" borderId="6" xfId="2" applyFont="1" applyFill="1" applyBorder="1" applyAlignment="1">
      <alignment horizontal="center" wrapText="1"/>
    </xf>
    <xf numFmtId="3" fontId="15" fillId="0" borderId="6" xfId="0" applyNumberFormat="1" applyFont="1" applyBorder="1" applyAlignment="1">
      <alignment wrapText="1"/>
    </xf>
    <xf numFmtId="3" fontId="14" fillId="0" borderId="12" xfId="0" applyNumberFormat="1" applyFont="1" applyBorder="1" applyAlignment="1">
      <alignment wrapText="1"/>
    </xf>
    <xf numFmtId="3" fontId="15" fillId="0" borderId="12" xfId="0" applyNumberFormat="1" applyFont="1" applyBorder="1" applyAlignment="1">
      <alignment wrapText="1"/>
    </xf>
    <xf numFmtId="9" fontId="14" fillId="0" borderId="12" xfId="2" applyFont="1" applyFill="1" applyBorder="1" applyAlignment="1">
      <alignment horizontal="center" wrapText="1"/>
    </xf>
    <xf numFmtId="0" fontId="12" fillId="0" borderId="7" xfId="0" applyFont="1" applyBorder="1" applyAlignment="1">
      <alignment horizontal="center"/>
    </xf>
    <xf numFmtId="3" fontId="12" fillId="0" borderId="2" xfId="0" applyNumberFormat="1" applyFont="1" applyBorder="1"/>
    <xf numFmtId="9" fontId="12" fillId="0" borderId="2" xfId="2" applyFont="1" applyFill="1" applyBorder="1" applyAlignment="1">
      <alignment horizontal="center"/>
    </xf>
    <xf numFmtId="0" fontId="14" fillId="2" borderId="2" xfId="0" quotePrefix="1" applyFont="1" applyFill="1" applyBorder="1" applyAlignment="1">
      <alignment horizontal="left" wrapText="1"/>
    </xf>
    <xf numFmtId="9" fontId="14" fillId="2" borderId="2" xfId="2" applyFont="1" applyFill="1" applyBorder="1" applyAlignment="1">
      <alignment horizontal="center" wrapText="1"/>
    </xf>
    <xf numFmtId="0" fontId="14" fillId="2" borderId="0" xfId="0" applyFont="1" applyFill="1"/>
    <xf numFmtId="0" fontId="4" fillId="0" borderId="0" xfId="0" applyFont="1" applyAlignment="1">
      <alignment horizontal="center"/>
    </xf>
    <xf numFmtId="0" fontId="4" fillId="0" borderId="0" xfId="0" applyFont="1" applyAlignment="1">
      <alignment vertical="center"/>
    </xf>
    <xf numFmtId="165" fontId="19" fillId="0" borderId="0" xfId="1" applyNumberFormat="1" applyFont="1" applyFill="1" applyBorder="1"/>
    <xf numFmtId="3" fontId="4" fillId="0" borderId="0" xfId="0" applyNumberFormat="1" applyFont="1" applyAlignment="1">
      <alignment vertical="top" wrapText="1"/>
    </xf>
    <xf numFmtId="0" fontId="17" fillId="0" borderId="0" xfId="0" applyFont="1"/>
    <xf numFmtId="3" fontId="18" fillId="0" borderId="0" xfId="0" applyNumberFormat="1" applyFont="1" applyAlignment="1">
      <alignment vertical="top" wrapText="1"/>
    </xf>
    <xf numFmtId="0" fontId="18" fillId="0" borderId="0" xfId="0" applyFont="1"/>
    <xf numFmtId="165" fontId="18" fillId="0" borderId="0" xfId="1" applyNumberFormat="1" applyFont="1" applyBorder="1" applyAlignment="1">
      <alignment horizontal="right"/>
    </xf>
    <xf numFmtId="165" fontId="18" fillId="0" borderId="0" xfId="1" applyNumberFormat="1" applyFont="1" applyBorder="1"/>
    <xf numFmtId="165" fontId="17" fillId="0" borderId="0" xfId="1" applyNumberFormat="1" applyFont="1" applyFill="1" applyBorder="1"/>
    <xf numFmtId="0" fontId="6" fillId="0" borderId="0" xfId="0" applyFont="1" applyAlignment="1">
      <alignment vertical="center"/>
    </xf>
    <xf numFmtId="165" fontId="19" fillId="0" borderId="0" xfId="1" applyNumberFormat="1" applyFont="1" applyFill="1" applyBorder="1" applyAlignment="1">
      <alignment vertical="center"/>
    </xf>
    <xf numFmtId="0" fontId="4" fillId="0" borderId="2" xfId="0" applyFont="1" applyBorder="1" applyAlignment="1">
      <alignment horizontal="center" vertical="center" wrapText="1"/>
    </xf>
    <xf numFmtId="0" fontId="18" fillId="0" borderId="0" xfId="0" quotePrefix="1" applyFont="1" applyAlignment="1">
      <alignment horizontal="left" vertical="top" indent="2"/>
    </xf>
    <xf numFmtId="3" fontId="6" fillId="0" borderId="0" xfId="0" applyNumberFormat="1" applyFont="1" applyAlignment="1">
      <alignment vertical="center" wrapText="1"/>
    </xf>
    <xf numFmtId="165" fontId="4" fillId="0" borderId="0" xfId="1" applyNumberFormat="1" applyFont="1"/>
    <xf numFmtId="0" fontId="22" fillId="0" borderId="0" xfId="0" applyFont="1"/>
    <xf numFmtId="0" fontId="4" fillId="0" borderId="2" xfId="0" applyFont="1" applyBorder="1"/>
    <xf numFmtId="165" fontId="23" fillId="0" borderId="0" xfId="1" applyNumberFormat="1" applyFont="1" applyFill="1"/>
    <xf numFmtId="0" fontId="4" fillId="0" borderId="2" xfId="0" applyFont="1" applyBorder="1" applyAlignment="1">
      <alignment horizontal="left" vertical="center"/>
    </xf>
    <xf numFmtId="0" fontId="6" fillId="0" borderId="2" xfId="0" applyFont="1" applyBorder="1" applyAlignment="1">
      <alignment horizontal="center"/>
    </xf>
    <xf numFmtId="0" fontId="6" fillId="0" borderId="7" xfId="0" applyFont="1" applyBorder="1" applyAlignment="1">
      <alignment horizontal="left"/>
    </xf>
    <xf numFmtId="0" fontId="6" fillId="0" borderId="9" xfId="0" applyFont="1" applyBorder="1" applyAlignment="1">
      <alignment horizontal="left"/>
    </xf>
    <xf numFmtId="0" fontId="6" fillId="0" borderId="10" xfId="0" applyFont="1" applyBorder="1" applyAlignment="1">
      <alignment horizontal="left"/>
    </xf>
    <xf numFmtId="0" fontId="6" fillId="0" borderId="2" xfId="0" quotePrefix="1" applyFont="1" applyBorder="1" applyAlignment="1">
      <alignment wrapText="1"/>
    </xf>
    <xf numFmtId="0" fontId="6" fillId="0" borderId="2" xfId="0" applyFont="1" applyBorder="1" applyAlignment="1">
      <alignment horizontal="center" vertical="center"/>
    </xf>
    <xf numFmtId="0" fontId="6" fillId="0" borderId="2" xfId="0" applyFont="1" applyBorder="1" applyAlignment="1">
      <alignment horizontal="left" vertical="center"/>
    </xf>
    <xf numFmtId="3" fontId="6" fillId="0" borderId="2" xfId="0" applyNumberFormat="1" applyFont="1" applyBorder="1" applyAlignment="1">
      <alignment vertical="center"/>
    </xf>
    <xf numFmtId="0" fontId="6" fillId="0" borderId="2" xfId="0" quotePrefix="1" applyFont="1" applyBorder="1" applyAlignment="1">
      <alignment vertical="center" wrapText="1"/>
    </xf>
    <xf numFmtId="0" fontId="6" fillId="0" borderId="2" xfId="0" applyFont="1" applyBorder="1" applyAlignment="1">
      <alignment wrapText="1"/>
    </xf>
    <xf numFmtId="0" fontId="18" fillId="0" borderId="2" xfId="0" applyFont="1" applyBorder="1"/>
    <xf numFmtId="0" fontId="18" fillId="0" borderId="10" xfId="0" applyFont="1" applyBorder="1" applyAlignment="1">
      <alignment horizontal="left"/>
    </xf>
    <xf numFmtId="0" fontId="18" fillId="0" borderId="2" xfId="0" applyFont="1" applyBorder="1" applyAlignment="1">
      <alignment horizontal="center"/>
    </xf>
    <xf numFmtId="165" fontId="18" fillId="0" borderId="2" xfId="0" applyNumberFormat="1" applyFont="1" applyBorder="1" applyAlignment="1">
      <alignment horizontal="left"/>
    </xf>
    <xf numFmtId="3" fontId="18" fillId="0" borderId="2" xfId="0" applyNumberFormat="1" applyFont="1" applyBorder="1"/>
    <xf numFmtId="0" fontId="6" fillId="0" borderId="2" xfId="0" applyFont="1" applyBorder="1" applyAlignment="1">
      <alignment horizontal="left"/>
    </xf>
    <xf numFmtId="3" fontId="24" fillId="0" borderId="2" xfId="0" applyNumberFormat="1" applyFont="1" applyBorder="1"/>
    <xf numFmtId="0" fontId="6" fillId="0" borderId="7" xfId="0" quotePrefix="1" applyFont="1" applyBorder="1" applyAlignment="1">
      <alignment horizontal="left"/>
    </xf>
    <xf numFmtId="165" fontId="18" fillId="0" borderId="2" xfId="1" applyNumberFormat="1" applyFont="1" applyFill="1" applyBorder="1"/>
    <xf numFmtId="165" fontId="6" fillId="0" borderId="2" xfId="1" applyNumberFormat="1" applyFont="1" applyFill="1" applyBorder="1" applyAlignment="1">
      <alignment vertical="center"/>
    </xf>
    <xf numFmtId="165" fontId="18" fillId="0" borderId="2" xfId="0" applyNumberFormat="1" applyFont="1" applyBorder="1"/>
    <xf numFmtId="0" fontId="21" fillId="0" borderId="0" xfId="0" applyFont="1"/>
    <xf numFmtId="0" fontId="6" fillId="0" borderId="0" xfId="0" applyFont="1" applyAlignment="1">
      <alignment horizontal="center"/>
    </xf>
    <xf numFmtId="0" fontId="4" fillId="0" borderId="7"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6" fillId="3" borderId="2" xfId="0" applyFont="1" applyFill="1" applyBorder="1" applyAlignment="1">
      <alignment horizontal="center"/>
    </xf>
    <xf numFmtId="0" fontId="6" fillId="3" borderId="7" xfId="0" applyFont="1" applyFill="1" applyBorder="1" applyAlignment="1">
      <alignment horizontal="left"/>
    </xf>
    <xf numFmtId="0" fontId="6" fillId="3" borderId="9" xfId="0" applyFont="1" applyFill="1" applyBorder="1" applyAlignment="1">
      <alignment horizontal="left"/>
    </xf>
    <xf numFmtId="0" fontId="6" fillId="3" borderId="10" xfId="0" applyFont="1" applyFill="1" applyBorder="1" applyAlignment="1">
      <alignment horizontal="left"/>
    </xf>
    <xf numFmtId="0" fontId="6" fillId="3" borderId="2" xfId="0" applyFont="1" applyFill="1" applyBorder="1" applyAlignment="1">
      <alignment horizontal="center" vertical="center"/>
    </xf>
    <xf numFmtId="0" fontId="6" fillId="3" borderId="7" xfId="0" applyFont="1" applyFill="1" applyBorder="1" applyAlignment="1">
      <alignment horizontal="left" vertical="center"/>
    </xf>
    <xf numFmtId="0" fontId="6" fillId="3" borderId="9" xfId="0" applyFont="1" applyFill="1" applyBorder="1" applyAlignment="1">
      <alignment horizontal="left" vertical="center"/>
    </xf>
    <xf numFmtId="0" fontId="6" fillId="3" borderId="10" xfId="0" applyFont="1" applyFill="1" applyBorder="1" applyAlignment="1">
      <alignment horizontal="left" vertical="center"/>
    </xf>
    <xf numFmtId="9" fontId="6" fillId="0" borderId="2" xfId="0" quotePrefix="1" applyNumberFormat="1" applyFont="1" applyBorder="1" applyAlignment="1">
      <alignment wrapText="1"/>
    </xf>
    <xf numFmtId="0" fontId="18" fillId="3" borderId="7" xfId="0" applyFont="1" applyFill="1" applyBorder="1" applyAlignment="1">
      <alignment horizontal="left"/>
    </xf>
    <xf numFmtId="0" fontId="18" fillId="3" borderId="9" xfId="0" applyFont="1" applyFill="1" applyBorder="1" applyAlignment="1">
      <alignment horizontal="left"/>
    </xf>
    <xf numFmtId="0" fontId="18" fillId="3" borderId="10" xfId="0" applyFont="1" applyFill="1" applyBorder="1" applyAlignment="1">
      <alignment horizontal="left"/>
    </xf>
    <xf numFmtId="0" fontId="4" fillId="3" borderId="0" xfId="0" applyFont="1" applyFill="1"/>
    <xf numFmtId="0" fontId="4" fillId="3" borderId="21" xfId="0" applyFont="1" applyFill="1" applyBorder="1"/>
    <xf numFmtId="0" fontId="4" fillId="0" borderId="8" xfId="0" applyFont="1" applyBorder="1" applyAlignment="1">
      <alignment horizontal="center"/>
    </xf>
    <xf numFmtId="0" fontId="4" fillId="3" borderId="2"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18" fillId="3" borderId="2" xfId="0" applyFont="1" applyFill="1" applyBorder="1" applyAlignment="1">
      <alignment horizontal="center"/>
    </xf>
    <xf numFmtId="0" fontId="4" fillId="3" borderId="7" xfId="0" applyFont="1" applyFill="1" applyBorder="1" applyAlignment="1">
      <alignment horizontal="left" vertical="center"/>
    </xf>
    <xf numFmtId="0" fontId="4" fillId="3" borderId="9" xfId="0" applyFont="1" applyFill="1" applyBorder="1" applyAlignment="1">
      <alignment horizontal="left" vertical="center"/>
    </xf>
    <xf numFmtId="0" fontId="5" fillId="0" borderId="0" xfId="0" applyFont="1"/>
    <xf numFmtId="0" fontId="9" fillId="0" borderId="0" xfId="0" applyFont="1"/>
    <xf numFmtId="9" fontId="6" fillId="0" borderId="2" xfId="0" quotePrefix="1" applyNumberFormat="1" applyFont="1" applyBorder="1" applyAlignment="1">
      <alignment horizontal="right" wrapText="1"/>
    </xf>
    <xf numFmtId="0" fontId="4" fillId="0" borderId="7" xfId="0" applyFont="1" applyBorder="1"/>
    <xf numFmtId="3" fontId="6" fillId="0" borderId="7" xfId="0" applyNumberFormat="1" applyFont="1" applyBorder="1" applyAlignment="1">
      <alignment vertical="center"/>
    </xf>
    <xf numFmtId="3" fontId="24" fillId="0" borderId="7" xfId="0" applyNumberFormat="1" applyFont="1" applyBorder="1"/>
    <xf numFmtId="3" fontId="18" fillId="0" borderId="7" xfId="0" applyNumberFormat="1" applyFont="1" applyBorder="1"/>
    <xf numFmtId="165" fontId="3" fillId="0" borderId="0" xfId="0" applyNumberFormat="1" applyFont="1"/>
    <xf numFmtId="0" fontId="27" fillId="0" borderId="0" xfId="0" applyFont="1"/>
    <xf numFmtId="0" fontId="27" fillId="0" borderId="0" xfId="0" applyFont="1" applyAlignment="1">
      <alignment horizontal="left"/>
    </xf>
    <xf numFmtId="0" fontId="28" fillId="0" borderId="0" xfId="0" applyFont="1"/>
    <xf numFmtId="0" fontId="29" fillId="0" borderId="0" xfId="0" applyFont="1"/>
    <xf numFmtId="3" fontId="30" fillId="0" borderId="0" xfId="0" applyNumberFormat="1" applyFont="1" applyAlignment="1">
      <alignment vertical="top" wrapText="1"/>
    </xf>
    <xf numFmtId="3" fontId="31" fillId="0" borderId="0" xfId="0" applyNumberFormat="1" applyFont="1" applyAlignment="1">
      <alignment vertical="top"/>
    </xf>
    <xf numFmtId="0" fontId="32" fillId="0" borderId="0" xfId="0" applyFont="1"/>
    <xf numFmtId="0" fontId="31" fillId="0" borderId="0" xfId="0" applyFont="1"/>
    <xf numFmtId="0" fontId="32" fillId="0" borderId="0" xfId="0" applyFont="1" applyAlignment="1">
      <alignment horizontal="center"/>
    </xf>
    <xf numFmtId="0" fontId="32" fillId="0" borderId="2" xfId="0" applyFont="1" applyBorder="1" applyAlignment="1">
      <alignment horizontal="center"/>
    </xf>
    <xf numFmtId="0" fontId="33" fillId="0" borderId="16" xfId="0" applyFont="1" applyBorder="1" applyAlignment="1">
      <alignment vertical="top" wrapText="1"/>
    </xf>
    <xf numFmtId="3" fontId="31" fillId="0" borderId="14" xfId="0" applyNumberFormat="1" applyFont="1" applyBorder="1" applyAlignment="1">
      <alignment vertical="top" wrapText="1"/>
    </xf>
    <xf numFmtId="0" fontId="0" fillId="0" borderId="0" xfId="0" applyAlignment="1">
      <alignment vertical="center"/>
    </xf>
    <xf numFmtId="0" fontId="32" fillId="0" borderId="0" xfId="0" quotePrefix="1" applyFont="1" applyAlignment="1">
      <alignment horizontal="left" vertical="top" wrapText="1" indent="2"/>
    </xf>
    <xf numFmtId="3" fontId="32" fillId="0" borderId="0" xfId="0" applyNumberFormat="1" applyFont="1" applyAlignment="1">
      <alignment vertical="top" wrapText="1"/>
    </xf>
    <xf numFmtId="2" fontId="32" fillId="0" borderId="2" xfId="0" applyNumberFormat="1" applyFont="1" applyBorder="1" applyAlignment="1">
      <alignment horizontal="center" vertical="top" wrapText="1"/>
    </xf>
    <xf numFmtId="3" fontId="31" fillId="0" borderId="2" xfId="0" applyNumberFormat="1" applyFont="1" applyBorder="1" applyAlignment="1">
      <alignment wrapText="1"/>
    </xf>
    <xf numFmtId="0" fontId="31" fillId="0" borderId="2" xfId="0" quotePrefix="1" applyFont="1" applyBorder="1" applyAlignment="1">
      <alignment horizontal="left" vertical="center" wrapText="1"/>
    </xf>
    <xf numFmtId="3" fontId="31" fillId="0" borderId="2" xfId="0" applyNumberFormat="1" applyFont="1" applyBorder="1" applyAlignment="1">
      <alignment vertical="center" wrapText="1"/>
    </xf>
    <xf numFmtId="164" fontId="32" fillId="0" borderId="2" xfId="1" applyFont="1" applyFill="1" applyBorder="1" applyAlignment="1">
      <alignment horizontal="center" vertical="top" wrapText="1"/>
    </xf>
    <xf numFmtId="165" fontId="3" fillId="0" borderId="0" xfId="1" applyNumberFormat="1" applyFont="1"/>
    <xf numFmtId="0" fontId="5" fillId="0" borderId="14" xfId="0" applyFont="1" applyBorder="1"/>
    <xf numFmtId="9" fontId="5" fillId="0" borderId="2" xfId="0" applyNumberFormat="1" applyFont="1" applyBorder="1" applyAlignment="1">
      <alignment vertical="center"/>
    </xf>
    <xf numFmtId="0" fontId="5" fillId="0" borderId="2" xfId="0" applyFont="1" applyBorder="1"/>
    <xf numFmtId="0" fontId="6" fillId="0" borderId="2" xfId="0" applyFont="1" applyBorder="1"/>
    <xf numFmtId="165" fontId="6" fillId="0" borderId="2" xfId="1" applyNumberFormat="1" applyFont="1" applyBorder="1"/>
    <xf numFmtId="0" fontId="4" fillId="0" borderId="0" xfId="0" applyFont="1" applyAlignment="1">
      <alignment horizontal="center" vertical="center"/>
    </xf>
    <xf numFmtId="165" fontId="4" fillId="0" borderId="2" xfId="1" applyNumberFormat="1" applyFont="1" applyFill="1" applyBorder="1" applyAlignment="1">
      <alignment horizontal="center" vertical="center" wrapText="1"/>
    </xf>
    <xf numFmtId="165" fontId="4" fillId="0" borderId="0" xfId="1" applyNumberFormat="1" applyFont="1" applyFill="1" applyBorder="1"/>
    <xf numFmtId="165" fontId="17" fillId="0" borderId="0" xfId="1" applyNumberFormat="1" applyFont="1" applyFill="1" applyBorder="1" applyAlignment="1">
      <alignment horizontal="right"/>
    </xf>
    <xf numFmtId="165" fontId="6" fillId="0" borderId="0" xfId="1" applyNumberFormat="1" applyFont="1" applyFill="1" applyBorder="1"/>
    <xf numFmtId="3" fontId="6" fillId="0" borderId="0" xfId="0" applyNumberFormat="1" applyFont="1" applyAlignment="1">
      <alignment vertical="top" wrapText="1"/>
    </xf>
    <xf numFmtId="0" fontId="19" fillId="0" borderId="0" xfId="0" applyFont="1"/>
    <xf numFmtId="165" fontId="19" fillId="0" borderId="0" xfId="1" applyNumberFormat="1" applyFont="1" applyFill="1" applyBorder="1" applyAlignment="1">
      <alignment horizontal="right"/>
    </xf>
    <xf numFmtId="0" fontId="4" fillId="0" borderId="2" xfId="0" quotePrefix="1" applyFont="1" applyBorder="1" applyAlignment="1">
      <alignment horizontal="center" vertical="center" wrapText="1"/>
    </xf>
    <xf numFmtId="3" fontId="4" fillId="0" borderId="0" xfId="0" applyNumberFormat="1" applyFont="1" applyAlignment="1">
      <alignment horizontal="center" vertical="center" wrapText="1"/>
    </xf>
    <xf numFmtId="0" fontId="17" fillId="0" borderId="0" xfId="0" applyFont="1" applyAlignment="1">
      <alignment horizontal="center" vertical="center"/>
    </xf>
    <xf numFmtId="165" fontId="17" fillId="0" borderId="0" xfId="1" applyNumberFormat="1" applyFont="1" applyFill="1" applyBorder="1" applyAlignment="1">
      <alignment horizontal="center" vertical="center"/>
    </xf>
    <xf numFmtId="0" fontId="6" fillId="0" borderId="2" xfId="0" quotePrefix="1" applyFont="1" applyBorder="1" applyAlignment="1">
      <alignment vertical="top" wrapText="1"/>
    </xf>
    <xf numFmtId="0" fontId="13" fillId="0" borderId="0" xfId="0" applyFont="1"/>
    <xf numFmtId="0" fontId="35" fillId="0" borderId="0" xfId="0" applyFont="1"/>
    <xf numFmtId="0" fontId="6" fillId="0" borderId="2" xfId="0" applyFont="1" applyBorder="1" applyAlignment="1">
      <alignment vertical="center"/>
    </xf>
    <xf numFmtId="0" fontId="19" fillId="0" borderId="0" xfId="0" applyFont="1" applyAlignment="1">
      <alignment vertical="center"/>
    </xf>
    <xf numFmtId="165" fontId="19" fillId="0" borderId="0" xfId="1" applyNumberFormat="1" applyFont="1" applyFill="1" applyBorder="1" applyAlignment="1">
      <alignment horizontal="right" vertical="center"/>
    </xf>
    <xf numFmtId="165" fontId="14" fillId="2" borderId="2" xfId="1" applyNumberFormat="1" applyFont="1" applyFill="1" applyBorder="1"/>
    <xf numFmtId="2" fontId="12" fillId="0" borderId="2" xfId="0" applyNumberFormat="1" applyFont="1" applyBorder="1" applyAlignment="1">
      <alignment horizontal="center" vertical="center"/>
    </xf>
    <xf numFmtId="165" fontId="6" fillId="0" borderId="7" xfId="1" applyNumberFormat="1" applyFont="1" applyFill="1" applyBorder="1"/>
    <xf numFmtId="165" fontId="18" fillId="0" borderId="7" xfId="0" applyNumberFormat="1" applyFont="1" applyBorder="1" applyAlignment="1">
      <alignment horizontal="left"/>
    </xf>
    <xf numFmtId="165" fontId="18" fillId="0" borderId="7" xfId="1" applyNumberFormat="1" applyFont="1" applyFill="1" applyBorder="1"/>
    <xf numFmtId="165" fontId="18" fillId="0" borderId="7" xfId="0" applyNumberFormat="1" applyFont="1" applyBorder="1"/>
    <xf numFmtId="0" fontId="3" fillId="0" borderId="2" xfId="0" applyFont="1" applyBorder="1"/>
    <xf numFmtId="0" fontId="12" fillId="0" borderId="0" xfId="0" applyFont="1" applyAlignment="1">
      <alignment horizontal="center"/>
    </xf>
    <xf numFmtId="0" fontId="12" fillId="0" borderId="2" xfId="0" applyFont="1" applyBorder="1" applyAlignment="1">
      <alignment horizontal="center" vertical="top" wrapText="1"/>
    </xf>
    <xf numFmtId="165" fontId="12" fillId="0" borderId="0" xfId="0" applyNumberFormat="1" applyFont="1"/>
    <xf numFmtId="0" fontId="38" fillId="0" borderId="0" xfId="0" applyFont="1"/>
    <xf numFmtId="165" fontId="12" fillId="0" borderId="0" xfId="1" applyNumberFormat="1" applyFont="1"/>
    <xf numFmtId="165" fontId="14" fillId="0" borderId="0" xfId="1" applyNumberFormat="1" applyFont="1"/>
    <xf numFmtId="165" fontId="14" fillId="2" borderId="0" xfId="1" applyNumberFormat="1" applyFont="1" applyFill="1"/>
    <xf numFmtId="0" fontId="39" fillId="0" borderId="0" xfId="0" applyFont="1"/>
    <xf numFmtId="0" fontId="12" fillId="0" borderId="0" xfId="0" quotePrefix="1" applyFont="1"/>
    <xf numFmtId="0" fontId="12" fillId="0" borderId="24" xfId="0" applyFont="1" applyBorder="1" applyAlignment="1">
      <alignment horizontal="left" vertical="top" wrapText="1"/>
    </xf>
    <xf numFmtId="0" fontId="12" fillId="0" borderId="13" xfId="0" applyFont="1" applyBorder="1" applyAlignment="1">
      <alignment horizontal="center" vertical="top" wrapText="1"/>
    </xf>
    <xf numFmtId="167" fontId="12" fillId="0" borderId="4" xfId="1" applyNumberFormat="1" applyFont="1" applyBorder="1" applyAlignment="1">
      <alignment horizontal="center" vertical="top" wrapText="1"/>
    </xf>
    <xf numFmtId="167" fontId="12" fillId="0" borderId="0" xfId="1" applyNumberFormat="1" applyFont="1" applyBorder="1" applyAlignment="1">
      <alignment horizontal="center" vertical="top" wrapText="1"/>
    </xf>
    <xf numFmtId="0" fontId="40" fillId="0" borderId="16" xfId="0" applyFont="1" applyBorder="1" applyAlignment="1">
      <alignment vertical="top" wrapText="1"/>
    </xf>
    <xf numFmtId="3" fontId="12" fillId="0" borderId="14" xfId="0" applyNumberFormat="1" applyFont="1" applyBorder="1" applyAlignment="1">
      <alignment vertical="top" wrapText="1"/>
    </xf>
    <xf numFmtId="0" fontId="12" fillId="0" borderId="15" xfId="0" applyFont="1" applyBorder="1" applyAlignment="1">
      <alignment horizontal="center" vertical="top" wrapText="1"/>
    </xf>
    <xf numFmtId="3" fontId="12" fillId="0" borderId="0" xfId="0" applyNumberFormat="1" applyFont="1" applyAlignment="1">
      <alignment vertical="top" wrapText="1"/>
    </xf>
    <xf numFmtId="0" fontId="14" fillId="0" borderId="5" xfId="0" quotePrefix="1" applyFont="1" applyBorder="1" applyAlignment="1">
      <alignment vertical="top"/>
    </xf>
    <xf numFmtId="3" fontId="14" fillId="0" borderId="6" xfId="0" applyNumberFormat="1" applyFont="1" applyBorder="1" applyAlignment="1">
      <alignment vertical="top" wrapText="1"/>
    </xf>
    <xf numFmtId="9" fontId="14" fillId="0" borderId="6" xfId="2" applyFont="1" applyBorder="1" applyAlignment="1">
      <alignment horizontal="center" vertical="top" wrapText="1"/>
    </xf>
    <xf numFmtId="0" fontId="14" fillId="2" borderId="5" xfId="0" quotePrefix="1" applyFont="1" applyFill="1" applyBorder="1" applyAlignment="1">
      <alignment vertical="top" wrapText="1"/>
    </xf>
    <xf numFmtId="165" fontId="14" fillId="2" borderId="5" xfId="0" quotePrefix="1" applyNumberFormat="1" applyFont="1" applyFill="1" applyBorder="1" applyAlignment="1">
      <alignment vertical="top" wrapText="1"/>
    </xf>
    <xf numFmtId="3" fontId="14" fillId="2" borderId="6" xfId="0" applyNumberFormat="1" applyFont="1" applyFill="1" applyBorder="1" applyAlignment="1">
      <alignment horizontal="center" vertical="top" wrapText="1"/>
    </xf>
    <xf numFmtId="0" fontId="12" fillId="2" borderId="0" xfId="0" applyFont="1" applyFill="1"/>
    <xf numFmtId="0" fontId="14" fillId="0" borderId="5" xfId="0" quotePrefix="1" applyFont="1" applyBorder="1" applyAlignment="1">
      <alignment vertical="top" wrapText="1"/>
    </xf>
    <xf numFmtId="0" fontId="12" fillId="0" borderId="7" xfId="0" applyFont="1" applyBorder="1" applyAlignment="1">
      <alignment horizontal="right" vertical="center"/>
    </xf>
    <xf numFmtId="3" fontId="12" fillId="0" borderId="2" xfId="0" applyNumberFormat="1" applyFont="1" applyBorder="1" applyAlignment="1">
      <alignment vertical="center"/>
    </xf>
    <xf numFmtId="3" fontId="12" fillId="0" borderId="0" xfId="0" applyNumberFormat="1" applyFont="1"/>
    <xf numFmtId="0" fontId="12" fillId="0" borderId="0" xfId="0" applyFont="1" applyAlignment="1">
      <alignment horizontal="right"/>
    </xf>
    <xf numFmtId="3" fontId="12" fillId="0" borderId="20" xfId="0" applyNumberFormat="1" applyFont="1" applyBorder="1"/>
    <xf numFmtId="0" fontId="12" fillId="0" borderId="0" xfId="0" applyFont="1" applyAlignment="1">
      <alignment horizontal="center" vertical="top" wrapText="1"/>
    </xf>
    <xf numFmtId="0" fontId="14" fillId="0" borderId="0" xfId="0" quotePrefix="1" applyFont="1" applyAlignment="1">
      <alignment horizontal="left" vertical="top" indent="2"/>
    </xf>
    <xf numFmtId="0" fontId="14" fillId="0" borderId="0" xfId="0" applyFont="1" applyAlignment="1">
      <alignment horizontal="left"/>
    </xf>
    <xf numFmtId="2" fontId="12" fillId="0" borderId="13" xfId="0" applyNumberFormat="1" applyFont="1" applyBorder="1" applyAlignment="1">
      <alignment horizontal="center" vertical="top" wrapText="1"/>
    </xf>
    <xf numFmtId="0" fontId="14" fillId="0" borderId="5" xfId="0" quotePrefix="1" applyFont="1" applyBorder="1" applyAlignment="1">
      <alignment horizontal="left" vertical="top"/>
    </xf>
    <xf numFmtId="0" fontId="37" fillId="0" borderId="5" xfId="0" quotePrefix="1" applyFont="1" applyBorder="1" applyAlignment="1">
      <alignment vertical="center" wrapText="1"/>
    </xf>
    <xf numFmtId="165" fontId="0" fillId="0" borderId="0" xfId="1" applyNumberFormat="1" applyFont="1"/>
    <xf numFmtId="165" fontId="4" fillId="0" borderId="0" xfId="1" applyNumberFormat="1" applyFont="1" applyAlignment="1">
      <alignment horizontal="center" vertical="center"/>
    </xf>
    <xf numFmtId="165" fontId="6" fillId="0" borderId="0" xfId="1" applyNumberFormat="1" applyFont="1"/>
    <xf numFmtId="9" fontId="0" fillId="0" borderId="0" xfId="2" applyFont="1"/>
    <xf numFmtId="0" fontId="32" fillId="0" borderId="0" xfId="0" quotePrefix="1" applyFont="1" applyAlignment="1">
      <alignment horizontal="left" indent="2"/>
    </xf>
    <xf numFmtId="0" fontId="33" fillId="0" borderId="2" xfId="0" applyFont="1" applyBorder="1" applyAlignment="1">
      <alignment vertical="center" wrapText="1"/>
    </xf>
    <xf numFmtId="0" fontId="42" fillId="0" borderId="9" xfId="0" applyFont="1" applyBorder="1" applyAlignment="1">
      <alignment horizontal="center"/>
    </xf>
    <xf numFmtId="0" fontId="42" fillId="0" borderId="7" xfId="0" applyFont="1" applyBorder="1" applyAlignment="1">
      <alignment horizontal="left"/>
    </xf>
    <xf numFmtId="0" fontId="42" fillId="0" borderId="10" xfId="0" applyFont="1" applyBorder="1" applyAlignment="1">
      <alignment horizontal="center"/>
    </xf>
    <xf numFmtId="0" fontId="42" fillId="0" borderId="2" xfId="0" quotePrefix="1" applyFont="1" applyBorder="1" applyAlignment="1">
      <alignment vertical="center" wrapText="1"/>
    </xf>
    <xf numFmtId="0" fontId="15" fillId="0" borderId="0" xfId="0" applyFont="1"/>
    <xf numFmtId="0" fontId="6" fillId="2" borderId="7" xfId="0" applyFont="1" applyFill="1" applyBorder="1" applyAlignment="1">
      <alignment horizontal="left"/>
    </xf>
    <xf numFmtId="167" fontId="4" fillId="0" borderId="2" xfId="1" applyNumberFormat="1" applyFont="1" applyBorder="1" applyAlignment="1">
      <alignment vertical="center" wrapText="1"/>
    </xf>
    <xf numFmtId="167" fontId="4" fillId="0" borderId="7" xfId="0" applyNumberFormat="1" applyFont="1" applyBorder="1"/>
    <xf numFmtId="0" fontId="41" fillId="0" borderId="0" xfId="0" applyFont="1"/>
    <xf numFmtId="9" fontId="43" fillId="0" borderId="2" xfId="2" applyFont="1" applyFill="1" applyBorder="1" applyAlignment="1">
      <alignment horizontal="center" wrapText="1"/>
    </xf>
    <xf numFmtId="0" fontId="43" fillId="0" borderId="2" xfId="0" quotePrefix="1" applyFont="1" applyBorder="1" applyAlignment="1">
      <alignment horizontal="left" vertical="center" wrapText="1"/>
    </xf>
    <xf numFmtId="0" fontId="12" fillId="0" borderId="2" xfId="0" applyFont="1" applyBorder="1" applyAlignment="1">
      <alignment vertical="center" wrapText="1"/>
    </xf>
    <xf numFmtId="9" fontId="14" fillId="0" borderId="2" xfId="0" applyNumberFormat="1" applyFont="1" applyBorder="1"/>
    <xf numFmtId="0" fontId="14" fillId="0" borderId="2" xfId="0" applyFont="1" applyBorder="1"/>
    <xf numFmtId="0" fontId="0" fillId="0" borderId="0" xfId="0" applyAlignment="1">
      <alignment horizontal="right"/>
    </xf>
    <xf numFmtId="165" fontId="14" fillId="3" borderId="2" xfId="1" applyNumberFormat="1" applyFont="1" applyFill="1" applyBorder="1"/>
    <xf numFmtId="9" fontId="14" fillId="3" borderId="2" xfId="2" applyFont="1" applyFill="1" applyBorder="1" applyAlignment="1">
      <alignment horizontal="center" wrapText="1"/>
    </xf>
    <xf numFmtId="0" fontId="8" fillId="0" borderId="0" xfId="0" applyFont="1" applyAlignment="1">
      <alignment vertical="center"/>
    </xf>
    <xf numFmtId="0" fontId="8" fillId="0" borderId="0" xfId="0" applyFont="1" applyAlignment="1">
      <alignment horizontal="center" vertical="center"/>
    </xf>
    <xf numFmtId="0" fontId="8" fillId="0" borderId="0" xfId="0" applyFont="1"/>
    <xf numFmtId="0" fontId="10" fillId="0" borderId="0" xfId="0" applyFont="1" applyAlignment="1">
      <alignment horizontal="center" vertical="center"/>
    </xf>
    <xf numFmtId="0" fontId="10" fillId="0" borderId="0" xfId="0" applyFont="1"/>
    <xf numFmtId="0" fontId="10" fillId="0" borderId="2" xfId="0" applyFont="1" applyBorder="1" applyAlignment="1">
      <alignment horizontal="justify" vertical="center" wrapText="1"/>
    </xf>
    <xf numFmtId="0" fontId="10" fillId="0" borderId="0" xfId="0" applyFont="1" applyAlignment="1">
      <alignment vertical="center"/>
    </xf>
    <xf numFmtId="0" fontId="8" fillId="0" borderId="0" xfId="0" applyFont="1" applyAlignment="1">
      <alignment horizontal="center" vertical="center" wrapText="1"/>
    </xf>
    <xf numFmtId="0" fontId="10" fillId="0" borderId="8" xfId="0" applyFont="1" applyBorder="1" applyAlignment="1">
      <alignment horizontal="center" vertical="center" wrapText="1"/>
    </xf>
    <xf numFmtId="0" fontId="10" fillId="0" borderId="8" xfId="0" applyFont="1" applyBorder="1" applyAlignment="1">
      <alignment vertical="center" wrapText="1"/>
    </xf>
    <xf numFmtId="0" fontId="10" fillId="0" borderId="8" xfId="0" applyFont="1" applyBorder="1" applyAlignment="1">
      <alignment horizontal="justify" vertical="center" wrapText="1"/>
    </xf>
    <xf numFmtId="0" fontId="46" fillId="0" borderId="2" xfId="0" applyFont="1" applyBorder="1" applyAlignment="1">
      <alignment horizontal="justify" vertical="center" wrapText="1"/>
    </xf>
    <xf numFmtId="0" fontId="46" fillId="0" borderId="2" xfId="0" applyFont="1" applyBorder="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justify" vertical="center" wrapText="1"/>
    </xf>
    <xf numFmtId="0" fontId="43" fillId="0" borderId="0" xfId="0" applyFont="1" applyAlignment="1">
      <alignment horizontal="center" wrapText="1"/>
    </xf>
    <xf numFmtId="0" fontId="43" fillId="3" borderId="2" xfId="0" quotePrefix="1" applyFont="1" applyFill="1" applyBorder="1" applyAlignment="1">
      <alignment horizontal="left" wrapText="1"/>
    </xf>
    <xf numFmtId="165" fontId="14" fillId="0" borderId="0" xfId="0" applyNumberFormat="1" applyFont="1"/>
    <xf numFmtId="9" fontId="5" fillId="3" borderId="2" xfId="2" applyFont="1" applyFill="1" applyBorder="1" applyAlignment="1">
      <alignment horizontal="center" wrapText="1"/>
    </xf>
    <xf numFmtId="0" fontId="49" fillId="0" borderId="2" xfId="0" applyFont="1" applyBorder="1" applyAlignment="1">
      <alignment horizontal="justify" vertical="center" wrapText="1"/>
    </xf>
    <xf numFmtId="0" fontId="49" fillId="0" borderId="2" xfId="0" applyFont="1" applyBorder="1" applyAlignment="1">
      <alignment horizontal="center" vertical="center" wrapText="1"/>
    </xf>
    <xf numFmtId="9" fontId="4" fillId="0" borderId="2" xfId="0" applyNumberFormat="1" applyFont="1" applyBorder="1" applyAlignment="1">
      <alignment horizontal="right" wrapText="1"/>
    </xf>
    <xf numFmtId="0" fontId="37" fillId="0" borderId="0" xfId="0" applyFont="1"/>
    <xf numFmtId="165" fontId="37" fillId="3" borderId="2" xfId="1" applyNumberFormat="1" applyFont="1" applyFill="1" applyBorder="1"/>
    <xf numFmtId="0" fontId="12" fillId="0" borderId="2" xfId="0" quotePrefix="1" applyFont="1" applyBorder="1" applyAlignment="1">
      <alignment horizontal="left" vertical="center" wrapText="1"/>
    </xf>
    <xf numFmtId="9" fontId="37" fillId="0" borderId="2" xfId="2" applyFont="1" applyFill="1" applyBorder="1" applyAlignment="1">
      <alignment horizontal="center" wrapText="1"/>
    </xf>
    <xf numFmtId="165" fontId="6" fillId="0" borderId="0" xfId="0" applyNumberFormat="1" applyFont="1"/>
    <xf numFmtId="0" fontId="14" fillId="0" borderId="0" xfId="0" applyFont="1" applyAlignment="1">
      <alignment horizontal="right" indent="1"/>
    </xf>
    <xf numFmtId="165" fontId="37" fillId="0" borderId="2" xfId="1" applyNumberFormat="1" applyFont="1" applyFill="1" applyBorder="1" applyAlignment="1">
      <alignment vertical="center"/>
    </xf>
    <xf numFmtId="9" fontId="14" fillId="0" borderId="0" xfId="2" applyFont="1"/>
    <xf numFmtId="3" fontId="15" fillId="0" borderId="15" xfId="0" applyNumberFormat="1" applyFont="1" applyBorder="1" applyAlignment="1">
      <alignment wrapText="1"/>
    </xf>
    <xf numFmtId="168" fontId="12" fillId="0" borderId="2" xfId="0" applyNumberFormat="1" applyFont="1" applyBorder="1" applyAlignment="1">
      <alignment horizontal="center" vertical="center"/>
    </xf>
    <xf numFmtId="165" fontId="51" fillId="0" borderId="0" xfId="1" applyNumberFormat="1" applyFont="1" applyBorder="1" applyAlignment="1">
      <alignment vertical="center"/>
    </xf>
    <xf numFmtId="0" fontId="12" fillId="0" borderId="7" xfId="0" applyFont="1" applyBorder="1" applyAlignment="1">
      <alignment horizontal="center" vertical="center"/>
    </xf>
    <xf numFmtId="9" fontId="45" fillId="0" borderId="0" xfId="2" applyFont="1" applyFill="1" applyBorder="1" applyAlignment="1">
      <alignment horizontal="center" wrapText="1"/>
    </xf>
    <xf numFmtId="9" fontId="45" fillId="2" borderId="0" xfId="2" applyFont="1" applyFill="1" applyBorder="1" applyAlignment="1">
      <alignment horizontal="center" wrapText="1"/>
    </xf>
    <xf numFmtId="9" fontId="53" fillId="0" borderId="0" xfId="2" applyFont="1" applyFill="1" applyBorder="1" applyAlignment="1">
      <alignment horizontal="center" wrapText="1"/>
    </xf>
    <xf numFmtId="9" fontId="52" fillId="0" borderId="0" xfId="2" applyFont="1" applyFill="1" applyBorder="1" applyAlignment="1">
      <alignment horizontal="center"/>
    </xf>
    <xf numFmtId="9" fontId="54" fillId="0" borderId="2" xfId="2" applyFont="1" applyFill="1" applyBorder="1"/>
    <xf numFmtId="9" fontId="54" fillId="2" borderId="2" xfId="2" applyFont="1" applyFill="1" applyBorder="1"/>
    <xf numFmtId="9" fontId="55" fillId="0" borderId="2" xfId="2" applyFont="1" applyFill="1" applyBorder="1"/>
    <xf numFmtId="9" fontId="56" fillId="0" borderId="2" xfId="2" applyFont="1" applyFill="1" applyBorder="1" applyAlignment="1">
      <alignment vertical="center"/>
    </xf>
    <xf numFmtId="9" fontId="54" fillId="0" borderId="15" xfId="2" applyFont="1" applyBorder="1" applyAlignment="1">
      <alignment wrapText="1"/>
    </xf>
    <xf numFmtId="9" fontId="54" fillId="0" borderId="6" xfId="2" applyFont="1" applyBorder="1" applyAlignment="1">
      <alignment horizontal="right" wrapText="1"/>
    </xf>
    <xf numFmtId="9" fontId="54" fillId="0" borderId="6" xfId="2" applyFont="1" applyBorder="1" applyAlignment="1">
      <alignment horizontal="center" wrapText="1"/>
    </xf>
    <xf numFmtId="9" fontId="54" fillId="0" borderId="12" xfId="2" applyFont="1" applyBorder="1" applyAlignment="1">
      <alignment wrapText="1"/>
    </xf>
    <xf numFmtId="9" fontId="57" fillId="0" borderId="2" xfId="2" applyFont="1" applyBorder="1"/>
    <xf numFmtId="9" fontId="57" fillId="0" borderId="0" xfId="2" applyFont="1"/>
    <xf numFmtId="9" fontId="54" fillId="2" borderId="0" xfId="2" applyFont="1" applyFill="1"/>
    <xf numFmtId="9" fontId="5" fillId="0" borderId="0" xfId="2" applyFont="1" applyAlignment="1">
      <alignment wrapText="1"/>
    </xf>
    <xf numFmtId="9" fontId="54" fillId="0" borderId="0" xfId="2" applyFont="1" applyAlignment="1">
      <alignment vertical="top" wrapText="1"/>
    </xf>
    <xf numFmtId="9" fontId="56" fillId="0" borderId="0" xfId="2" applyFont="1" applyAlignment="1">
      <alignment vertical="top" wrapText="1"/>
    </xf>
    <xf numFmtId="9" fontId="5" fillId="0" borderId="2" xfId="0" applyNumberFormat="1" applyFont="1" applyBorder="1" applyAlignment="1">
      <alignment horizontal="center" vertical="center" wrapText="1"/>
    </xf>
    <xf numFmtId="0" fontId="32" fillId="2" borderId="2" xfId="0" applyFont="1" applyFill="1" applyBorder="1" applyAlignment="1">
      <alignment horizontal="center"/>
    </xf>
    <xf numFmtId="0" fontId="32" fillId="3" borderId="2" xfId="0" applyFont="1" applyFill="1" applyBorder="1" applyAlignment="1">
      <alignment horizontal="center"/>
    </xf>
    <xf numFmtId="2" fontId="32" fillId="3" borderId="2" xfId="0" applyNumberFormat="1" applyFont="1" applyFill="1" applyBorder="1" applyAlignment="1">
      <alignment horizontal="center" vertical="top" wrapText="1"/>
    </xf>
    <xf numFmtId="3" fontId="31" fillId="3" borderId="14" xfId="0" applyNumberFormat="1" applyFont="1" applyFill="1" applyBorder="1" applyAlignment="1">
      <alignment vertical="top" wrapText="1"/>
    </xf>
    <xf numFmtId="3" fontId="31" fillId="3" borderId="2" xfId="0" applyNumberFormat="1" applyFont="1" applyFill="1" applyBorder="1" applyAlignment="1">
      <alignment vertical="center" wrapText="1"/>
    </xf>
    <xf numFmtId="0" fontId="4" fillId="0" borderId="17" xfId="0" applyFont="1" applyBorder="1" applyAlignment="1">
      <alignment horizontal="center"/>
    </xf>
    <xf numFmtId="9" fontId="12" fillId="0" borderId="14" xfId="2" applyFont="1" applyFill="1" applyBorder="1" applyAlignment="1">
      <alignment horizontal="center" vertical="center"/>
    </xf>
    <xf numFmtId="9" fontId="12" fillId="0" borderId="4" xfId="2" applyFont="1" applyFill="1" applyBorder="1" applyAlignment="1">
      <alignment horizontal="center" vertical="center"/>
    </xf>
    <xf numFmtId="9" fontId="12" fillId="0" borderId="8" xfId="2" applyFont="1" applyFill="1" applyBorder="1" applyAlignment="1">
      <alignment horizontal="center" vertical="center"/>
    </xf>
    <xf numFmtId="0" fontId="12" fillId="0" borderId="14" xfId="0" applyFont="1" applyBorder="1" applyAlignment="1">
      <alignment horizontal="center" vertical="center"/>
    </xf>
    <xf numFmtId="0" fontId="12" fillId="0" borderId="8" xfId="0" applyFont="1" applyBorder="1" applyAlignment="1">
      <alignment horizontal="center" vertical="center"/>
    </xf>
    <xf numFmtId="0" fontId="4" fillId="2" borderId="0" xfId="0" applyFont="1" applyFill="1"/>
    <xf numFmtId="0" fontId="6" fillId="2" borderId="0" xfId="0" applyFont="1" applyFill="1"/>
    <xf numFmtId="0" fontId="4" fillId="2" borderId="17" xfId="0" applyFont="1" applyFill="1" applyBorder="1" applyAlignment="1">
      <alignment horizontal="center"/>
    </xf>
    <xf numFmtId="165" fontId="24" fillId="0" borderId="2" xfId="1" applyNumberFormat="1" applyFont="1" applyFill="1" applyBorder="1"/>
    <xf numFmtId="0" fontId="59" fillId="0" borderId="2" xfId="0" quotePrefix="1" applyFont="1" applyBorder="1" applyAlignment="1">
      <alignment horizontal="left" wrapText="1"/>
    </xf>
    <xf numFmtId="0" fontId="37" fillId="3" borderId="2" xfId="0" quotePrefix="1" applyFont="1" applyFill="1" applyBorder="1" applyAlignment="1">
      <alignment horizontal="left" wrapText="1"/>
    </xf>
    <xf numFmtId="9" fontId="60" fillId="3" borderId="2" xfId="2" applyFont="1" applyFill="1" applyBorder="1" applyAlignment="1">
      <alignment horizontal="center" wrapText="1"/>
    </xf>
    <xf numFmtId="0" fontId="58" fillId="3" borderId="2" xfId="0" quotePrefix="1" applyFont="1" applyFill="1" applyBorder="1" applyAlignment="1">
      <alignment horizontal="left" wrapText="1"/>
    </xf>
    <xf numFmtId="0" fontId="12" fillId="2" borderId="2" xfId="0" applyFont="1" applyFill="1" applyBorder="1" applyAlignment="1">
      <alignment horizontal="center"/>
    </xf>
    <xf numFmtId="9" fontId="37" fillId="2" borderId="2" xfId="2" applyFont="1" applyFill="1" applyBorder="1" applyAlignment="1">
      <alignment horizontal="center" wrapText="1"/>
    </xf>
    <xf numFmtId="9" fontId="42" fillId="0" borderId="2" xfId="2" applyFont="1" applyFill="1" applyBorder="1" applyAlignment="1">
      <alignment horizontal="center" vertical="center" wrapText="1"/>
    </xf>
    <xf numFmtId="0" fontId="12" fillId="0" borderId="7" xfId="0" applyFont="1" applyBorder="1" applyAlignment="1">
      <alignment vertical="center"/>
    </xf>
    <xf numFmtId="0" fontId="12" fillId="0" borderId="9" xfId="0" applyFont="1" applyBorder="1" applyAlignment="1">
      <alignment vertical="center"/>
    </xf>
    <xf numFmtId="0" fontId="12" fillId="0" borderId="10" xfId="0" applyFont="1" applyBorder="1" applyAlignment="1">
      <alignment vertical="center"/>
    </xf>
    <xf numFmtId="165" fontId="43" fillId="0" borderId="13" xfId="1" applyNumberFormat="1" applyFont="1" applyBorder="1" applyAlignment="1">
      <alignment horizontal="center" vertical="center" wrapText="1"/>
    </xf>
    <xf numFmtId="165" fontId="43" fillId="0" borderId="0" xfId="1" applyNumberFormat="1" applyFont="1" applyAlignment="1">
      <alignment horizontal="center" vertical="center" wrapText="1"/>
    </xf>
    <xf numFmtId="164" fontId="50" fillId="0" borderId="2" xfId="1" applyFont="1" applyFill="1" applyBorder="1" applyAlignment="1">
      <alignment horizontal="center" vertical="center"/>
    </xf>
    <xf numFmtId="164" fontId="61" fillId="0" borderId="2" xfId="1" applyFont="1" applyFill="1" applyBorder="1" applyAlignment="1">
      <alignment horizontal="center" vertical="center"/>
    </xf>
    <xf numFmtId="0" fontId="12" fillId="4" borderId="2" xfId="0" applyFont="1" applyFill="1" applyBorder="1" applyAlignment="1">
      <alignment horizontal="center"/>
    </xf>
    <xf numFmtId="0" fontId="12" fillId="5" borderId="2" xfId="0" applyFont="1" applyFill="1" applyBorder="1" applyAlignment="1">
      <alignment horizontal="center"/>
    </xf>
    <xf numFmtId="0" fontId="40" fillId="6" borderId="2" xfId="0" applyFont="1" applyFill="1" applyBorder="1" applyAlignment="1">
      <alignment horizontal="center"/>
    </xf>
    <xf numFmtId="0" fontId="53" fillId="0" borderId="0" xfId="0" applyFont="1" applyAlignment="1">
      <alignment wrapText="1"/>
    </xf>
    <xf numFmtId="0" fontId="45" fillId="0" borderId="0" xfId="0" applyFont="1" applyAlignment="1">
      <alignment wrapText="1"/>
    </xf>
    <xf numFmtId="164" fontId="32" fillId="3" borderId="2" xfId="1" applyFont="1" applyFill="1" applyBorder="1" applyAlignment="1">
      <alignment horizontal="center" vertical="top" wrapText="1"/>
    </xf>
    <xf numFmtId="3" fontId="31" fillId="3" borderId="2" xfId="0" applyNumberFormat="1" applyFont="1" applyFill="1" applyBorder="1" applyAlignment="1">
      <alignment wrapText="1"/>
    </xf>
    <xf numFmtId="0" fontId="32" fillId="0" borderId="0" xfId="0" quotePrefix="1" applyFont="1"/>
    <xf numFmtId="3" fontId="4" fillId="0" borderId="0" xfId="0" applyNumberFormat="1" applyFont="1"/>
    <xf numFmtId="0" fontId="12" fillId="3" borderId="2" xfId="0" applyFont="1" applyFill="1" applyBorder="1" applyAlignment="1">
      <alignment horizontal="center" vertical="center"/>
    </xf>
    <xf numFmtId="168" fontId="12" fillId="3" borderId="4" xfId="0" applyNumberFormat="1" applyFont="1" applyFill="1" applyBorder="1" applyAlignment="1">
      <alignment horizontal="center" vertical="top" wrapText="1"/>
    </xf>
    <xf numFmtId="3" fontId="12" fillId="3" borderId="14" xfId="0" applyNumberFormat="1" applyFont="1" applyFill="1" applyBorder="1" applyAlignment="1">
      <alignment vertical="top" wrapText="1"/>
    </xf>
    <xf numFmtId="3" fontId="14" fillId="3" borderId="6" xfId="0" applyNumberFormat="1" applyFont="1" applyFill="1" applyBorder="1" applyAlignment="1">
      <alignment vertical="top" wrapText="1"/>
    </xf>
    <xf numFmtId="165" fontId="14" fillId="3" borderId="5" xfId="0" quotePrefix="1" applyNumberFormat="1" applyFont="1" applyFill="1" applyBorder="1" applyAlignment="1">
      <alignment vertical="top" wrapText="1"/>
    </xf>
    <xf numFmtId="3" fontId="12" fillId="3" borderId="2" xfId="0" applyNumberFormat="1" applyFont="1" applyFill="1" applyBorder="1" applyAlignment="1">
      <alignment vertical="center"/>
    </xf>
    <xf numFmtId="167" fontId="50" fillId="0" borderId="4" xfId="1" applyNumberFormat="1" applyFont="1" applyBorder="1" applyAlignment="1">
      <alignment horizontal="center" vertical="top" wrapText="1"/>
    </xf>
    <xf numFmtId="3" fontId="37" fillId="0" borderId="6" xfId="0" applyNumberFormat="1" applyFont="1" applyBorder="1" applyAlignment="1">
      <alignment vertical="center" wrapText="1"/>
    </xf>
    <xf numFmtId="3" fontId="37" fillId="3" borderId="6" xfId="0" applyNumberFormat="1" applyFont="1" applyFill="1" applyBorder="1" applyAlignment="1">
      <alignment vertical="center" wrapText="1"/>
    </xf>
    <xf numFmtId="0" fontId="57" fillId="0" borderId="0" xfId="0" applyFont="1" applyAlignment="1">
      <alignment horizontal="right"/>
    </xf>
    <xf numFmtId="0" fontId="54" fillId="0" borderId="0" xfId="0" applyFont="1" applyAlignment="1">
      <alignment horizontal="right"/>
    </xf>
    <xf numFmtId="165" fontId="54" fillId="0" borderId="0" xfId="1" applyNumberFormat="1" applyFont="1" applyAlignment="1">
      <alignment horizontal="right"/>
    </xf>
    <xf numFmtId="9" fontId="57" fillId="0" borderId="0" xfId="2" applyFont="1" applyAlignment="1">
      <alignment horizontal="right"/>
    </xf>
    <xf numFmtId="0" fontId="12" fillId="3" borderId="2" xfId="0" applyFont="1" applyFill="1" applyBorder="1" applyAlignment="1">
      <alignment horizontal="center"/>
    </xf>
    <xf numFmtId="2" fontId="12" fillId="3" borderId="2" xfId="0" applyNumberFormat="1" applyFont="1" applyFill="1" applyBorder="1" applyAlignment="1">
      <alignment horizontal="center" vertical="center"/>
    </xf>
    <xf numFmtId="3" fontId="12" fillId="3" borderId="2" xfId="0" applyNumberFormat="1" applyFont="1" applyFill="1" applyBorder="1"/>
    <xf numFmtId="0" fontId="61" fillId="0" borderId="0" xfId="0" applyFont="1"/>
    <xf numFmtId="0" fontId="14" fillId="0" borderId="0" xfId="0" quotePrefix="1" applyFont="1"/>
    <xf numFmtId="0" fontId="61" fillId="0" borderId="2" xfId="0" applyFont="1" applyBorder="1" applyAlignment="1">
      <alignment horizontal="center"/>
    </xf>
    <xf numFmtId="0" fontId="12" fillId="0" borderId="2" xfId="0" applyFont="1" applyBorder="1"/>
    <xf numFmtId="0" fontId="4" fillId="3" borderId="2" xfId="0" applyFont="1" applyFill="1" applyBorder="1" applyAlignment="1">
      <alignment horizontal="center"/>
    </xf>
    <xf numFmtId="167" fontId="4" fillId="3" borderId="2" xfId="1" applyNumberFormat="1" applyFont="1" applyFill="1" applyBorder="1" applyAlignment="1">
      <alignment vertical="center" wrapText="1"/>
    </xf>
    <xf numFmtId="165" fontId="22" fillId="3" borderId="0" xfId="1" applyNumberFormat="1" applyFont="1" applyFill="1"/>
    <xf numFmtId="0" fontId="4" fillId="3" borderId="2" xfId="0" applyFont="1" applyFill="1" applyBorder="1"/>
    <xf numFmtId="165" fontId="6" fillId="3" borderId="2" xfId="1" applyNumberFormat="1" applyFont="1" applyFill="1" applyBorder="1"/>
    <xf numFmtId="3" fontId="6" fillId="3" borderId="2" xfId="0" applyNumberFormat="1" applyFont="1" applyFill="1" applyBorder="1" applyAlignment="1">
      <alignment vertical="center"/>
    </xf>
    <xf numFmtId="165" fontId="18" fillId="3" borderId="2" xfId="0" applyNumberFormat="1" applyFont="1" applyFill="1" applyBorder="1" applyAlignment="1">
      <alignment horizontal="left"/>
    </xf>
    <xf numFmtId="3" fontId="24" fillId="3" borderId="2" xfId="0" applyNumberFormat="1" applyFont="1" applyFill="1" applyBorder="1"/>
    <xf numFmtId="165" fontId="18" fillId="3" borderId="2" xfId="1" applyNumberFormat="1" applyFont="1" applyFill="1" applyBorder="1"/>
    <xf numFmtId="165" fontId="4" fillId="3" borderId="0" xfId="1" applyNumberFormat="1" applyFont="1" applyFill="1"/>
    <xf numFmtId="165" fontId="24" fillId="3" borderId="2" xfId="1" applyNumberFormat="1" applyFont="1" applyFill="1" applyBorder="1"/>
    <xf numFmtId="3" fontId="18" fillId="3" borderId="2" xfId="0" applyNumberFormat="1" applyFont="1" applyFill="1" applyBorder="1"/>
    <xf numFmtId="165" fontId="18" fillId="3" borderId="2" xfId="0" applyNumberFormat="1" applyFont="1" applyFill="1" applyBorder="1"/>
    <xf numFmtId="0" fontId="3" fillId="3" borderId="0" xfId="0" applyFont="1" applyFill="1"/>
    <xf numFmtId="0" fontId="5" fillId="3" borderId="0" xfId="0" applyFont="1" applyFill="1"/>
    <xf numFmtId="0" fontId="4" fillId="2" borderId="7" xfId="0" applyFont="1" applyFill="1" applyBorder="1" applyAlignment="1">
      <alignment horizontal="center"/>
    </xf>
    <xf numFmtId="9" fontId="24" fillId="7" borderId="2" xfId="0" quotePrefix="1" applyNumberFormat="1" applyFont="1" applyFill="1" applyBorder="1"/>
    <xf numFmtId="9" fontId="24" fillId="7" borderId="2" xfId="0" quotePrefix="1" applyNumberFormat="1" applyFont="1" applyFill="1" applyBorder="1" applyAlignment="1">
      <alignment wrapText="1"/>
    </xf>
    <xf numFmtId="165" fontId="5" fillId="0" borderId="0" xfId="1" applyNumberFormat="1" applyFont="1"/>
    <xf numFmtId="167" fontId="22" fillId="0" borderId="7" xfId="1" applyNumberFormat="1" applyFont="1" applyBorder="1" applyAlignment="1">
      <alignment vertical="center" wrapText="1"/>
    </xf>
    <xf numFmtId="167" fontId="22" fillId="0" borderId="7" xfId="0" applyNumberFormat="1" applyFont="1" applyBorder="1"/>
    <xf numFmtId="0" fontId="16" fillId="0" borderId="0" xfId="0" applyFont="1"/>
    <xf numFmtId="165" fontId="43" fillId="0" borderId="2" xfId="1" applyNumberFormat="1" applyFont="1" applyFill="1" applyBorder="1" applyAlignment="1">
      <alignment vertical="center"/>
    </xf>
    <xf numFmtId="0" fontId="51" fillId="2" borderId="2" xfId="0" applyFont="1" applyFill="1" applyBorder="1" applyAlignment="1">
      <alignment horizontal="center"/>
    </xf>
    <xf numFmtId="164" fontId="51" fillId="2" borderId="2" xfId="1" applyFont="1" applyFill="1" applyBorder="1" applyAlignment="1">
      <alignment horizontal="center" vertical="center"/>
    </xf>
    <xf numFmtId="9" fontId="43" fillId="0" borderId="6" xfId="2" applyFont="1" applyBorder="1" applyAlignment="1">
      <alignment horizontal="center" vertical="top" wrapText="1"/>
    </xf>
    <xf numFmtId="169" fontId="37" fillId="0" borderId="6" xfId="2" applyNumberFormat="1" applyFont="1" applyBorder="1" applyAlignment="1">
      <alignment horizontal="center" vertical="center" wrapText="1"/>
    </xf>
    <xf numFmtId="9" fontId="24" fillId="0" borderId="2" xfId="2" quotePrefix="1" applyFont="1" applyBorder="1" applyAlignment="1">
      <alignment wrapText="1"/>
    </xf>
    <xf numFmtId="169" fontId="24" fillId="0" borderId="2" xfId="2" quotePrefix="1" applyNumberFormat="1" applyFont="1" applyBorder="1" applyAlignment="1">
      <alignment wrapText="1"/>
    </xf>
    <xf numFmtId="0" fontId="37" fillId="0" borderId="2" xfId="0" quotePrefix="1" applyFont="1" applyBorder="1" applyAlignment="1">
      <alignment horizontal="left" vertical="center" wrapText="1"/>
    </xf>
    <xf numFmtId="9" fontId="43" fillId="0" borderId="2" xfId="2" applyFont="1" applyFill="1" applyBorder="1" applyAlignment="1">
      <alignment horizontal="center" vertical="center" wrapText="1"/>
    </xf>
    <xf numFmtId="9" fontId="45" fillId="0" borderId="13" xfId="2" applyFont="1" applyFill="1" applyBorder="1" applyAlignment="1">
      <alignment horizontal="center" vertical="center" wrapText="1"/>
    </xf>
    <xf numFmtId="9" fontId="12" fillId="0" borderId="14" xfId="2" applyFont="1" applyFill="1" applyBorder="1" applyAlignment="1">
      <alignment horizontal="center" vertical="center"/>
    </xf>
    <xf numFmtId="9" fontId="12" fillId="0" borderId="8" xfId="2" applyFont="1" applyFill="1" applyBorder="1" applyAlignment="1">
      <alignment horizontal="center" vertical="center"/>
    </xf>
    <xf numFmtId="0" fontId="39" fillId="0" borderId="0" xfId="0" applyFont="1" applyAlignment="1">
      <alignment horizontal="center" wrapText="1"/>
    </xf>
    <xf numFmtId="0" fontId="39" fillId="0" borderId="17" xfId="0" applyFont="1" applyBorder="1" applyAlignment="1">
      <alignment horizontal="center" wrapText="1"/>
    </xf>
    <xf numFmtId="0" fontId="45" fillId="0" borderId="16" xfId="0" applyFont="1" applyBorder="1" applyAlignment="1">
      <alignment horizontal="center" vertical="center" wrapText="1"/>
    </xf>
    <xf numFmtId="0" fontId="45" fillId="0" borderId="13" xfId="0" applyFont="1" applyBorder="1" applyAlignment="1">
      <alignment horizontal="center" vertical="center" wrapText="1"/>
    </xf>
    <xf numFmtId="0" fontId="45" fillId="0" borderId="11" xfId="0" applyFont="1" applyBorder="1" applyAlignment="1">
      <alignment horizontal="center" vertical="center" wrapText="1"/>
    </xf>
    <xf numFmtId="0" fontId="12" fillId="0" borderId="0" xfId="0" applyFont="1" applyAlignment="1">
      <alignment horizontal="center"/>
    </xf>
    <xf numFmtId="0" fontId="12" fillId="0" borderId="2" xfId="0" applyFont="1" applyBorder="1" applyAlignment="1">
      <alignment horizontal="center" vertical="center" wrapText="1"/>
    </xf>
    <xf numFmtId="0" fontId="14" fillId="0" borderId="2" xfId="0" applyFont="1" applyBorder="1" applyAlignment="1">
      <alignment horizontal="center"/>
    </xf>
    <xf numFmtId="0" fontId="32" fillId="0" borderId="18" xfId="0" applyFont="1" applyBorder="1" applyAlignment="1">
      <alignment horizontal="left" vertical="top" wrapText="1"/>
    </xf>
    <xf numFmtId="0" fontId="32" fillId="0" borderId="19" xfId="0" applyFont="1" applyBorder="1" applyAlignment="1">
      <alignment horizontal="left" vertical="top" wrapText="1"/>
    </xf>
    <xf numFmtId="0" fontId="3" fillId="0" borderId="14" xfId="0" applyFont="1" applyBorder="1" applyAlignment="1">
      <alignment horizontal="center" vertical="center"/>
    </xf>
    <xf numFmtId="0" fontId="3" fillId="0" borderId="8" xfId="0" applyFont="1" applyBorder="1" applyAlignment="1">
      <alignment horizontal="center" vertical="center"/>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22" fillId="0" borderId="16"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2"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7" xfId="0" applyFont="1" applyBorder="1" applyAlignment="1">
      <alignment horizontal="center" vertical="center" wrapText="1"/>
    </xf>
    <xf numFmtId="0" fontId="22" fillId="0" borderId="2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8" xfId="0" applyFont="1" applyBorder="1" applyAlignment="1">
      <alignment horizontal="center" vertical="center" wrapText="1"/>
    </xf>
    <xf numFmtId="0" fontId="22" fillId="7" borderId="13" xfId="0" applyFont="1" applyFill="1" applyBorder="1" applyAlignment="1">
      <alignment horizontal="center" vertical="center" wrapText="1"/>
    </xf>
    <xf numFmtId="9" fontId="45" fillId="0" borderId="14" xfId="2" applyFont="1" applyFill="1" applyBorder="1" applyAlignment="1">
      <alignment horizontal="center" vertical="center" wrapText="1"/>
    </xf>
    <xf numFmtId="9" fontId="45" fillId="0" borderId="8" xfId="2"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2" xfId="0" applyFont="1" applyBorder="1" applyAlignment="1">
      <alignment vertical="center" wrapText="1"/>
    </xf>
    <xf numFmtId="0" fontId="10" fillId="0" borderId="2" xfId="0" applyFont="1" applyBorder="1" applyAlignment="1">
      <alignment horizontal="justify" vertical="center" wrapText="1"/>
    </xf>
    <xf numFmtId="0" fontId="62" fillId="0" borderId="2" xfId="0" applyFont="1" applyBorder="1" applyAlignment="1">
      <alignment wrapText="1"/>
    </xf>
    <xf numFmtId="0" fontId="58" fillId="3" borderId="15" xfId="0" applyFont="1" applyFill="1" applyBorder="1" applyAlignment="1">
      <alignment wrapText="1"/>
    </xf>
    <xf numFmtId="0" fontId="58" fillId="3" borderId="6" xfId="0" quotePrefix="1" applyFont="1" applyFill="1" applyBorder="1" applyAlignment="1">
      <alignment horizontal="left" wrapText="1"/>
    </xf>
    <xf numFmtId="0" fontId="58" fillId="3" borderId="6" xfId="0" applyFont="1" applyFill="1" applyBorder="1" applyAlignment="1">
      <alignment wrapText="1"/>
    </xf>
    <xf numFmtId="0" fontId="58" fillId="3" borderId="12" xfId="0" applyFont="1" applyFill="1" applyBorder="1" applyAlignment="1">
      <alignment wrapText="1"/>
    </xf>
    <xf numFmtId="0" fontId="12" fillId="2" borderId="2" xfId="0" applyFont="1" applyFill="1" applyBorder="1" applyAlignment="1">
      <alignment horizontal="center" vertical="center"/>
    </xf>
    <xf numFmtId="2" fontId="12" fillId="2" borderId="13" xfId="0" applyNumberFormat="1" applyFont="1" applyFill="1" applyBorder="1" applyAlignment="1">
      <alignment horizontal="center" vertical="top" wrapText="1"/>
    </xf>
    <xf numFmtId="0" fontId="40" fillId="2" borderId="16" xfId="0" applyFont="1" applyFill="1" applyBorder="1" applyAlignment="1">
      <alignment vertical="top" wrapText="1"/>
    </xf>
    <xf numFmtId="3" fontId="14" fillId="2" borderId="6" xfId="0" applyNumberFormat="1" applyFont="1" applyFill="1" applyBorder="1" applyAlignment="1">
      <alignment vertical="top" wrapText="1"/>
    </xf>
    <xf numFmtId="3" fontId="37" fillId="2" borderId="6" xfId="0" applyNumberFormat="1" applyFont="1" applyFill="1" applyBorder="1" applyAlignment="1">
      <alignment vertical="center" wrapText="1"/>
    </xf>
    <xf numFmtId="3" fontId="12" fillId="2" borderId="2" xfId="0" applyNumberFormat="1" applyFont="1" applyFill="1" applyBorder="1" applyAlignment="1">
      <alignment vertical="center"/>
    </xf>
    <xf numFmtId="0" fontId="63" fillId="0" borderId="2" xfId="0" quotePrefix="1" applyFont="1" applyBorder="1" applyAlignment="1">
      <alignment horizontal="left" vertical="center" wrapText="1"/>
    </xf>
    <xf numFmtId="0" fontId="51" fillId="0" borderId="0" xfId="0" applyFont="1"/>
    <xf numFmtId="171" fontId="4" fillId="0" borderId="10" xfId="1" applyNumberFormat="1" applyFont="1" applyBorder="1" applyAlignment="1">
      <alignment vertical="center" wrapText="1"/>
    </xf>
    <xf numFmtId="0" fontId="14" fillId="3" borderId="2" xfId="0" quotePrefix="1" applyFont="1" applyFill="1" applyBorder="1" applyAlignment="1">
      <alignment horizontal="left" wrapText="1"/>
    </xf>
    <xf numFmtId="9" fontId="37" fillId="3" borderId="2" xfId="2" applyFont="1" applyFill="1" applyBorder="1" applyAlignment="1">
      <alignment horizontal="center" wrapText="1"/>
    </xf>
    <xf numFmtId="0" fontId="14" fillId="3" borderId="0" xfId="0" applyFont="1" applyFill="1"/>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C00000"/>
  </sheetPr>
  <dimension ref="A2:P51"/>
  <sheetViews>
    <sheetView topLeftCell="A23" zoomScale="136" zoomScaleNormal="136" workbookViewId="0">
      <selection activeCell="A38" sqref="A38"/>
    </sheetView>
  </sheetViews>
  <sheetFormatPr defaultColWidth="9.140625" defaultRowHeight="16.5" x14ac:dyDescent="0.25"/>
  <cols>
    <col min="1" max="1" width="31.140625" style="18" customWidth="1"/>
    <col min="2" max="2" width="13.85546875" style="18" customWidth="1"/>
    <col min="3" max="4" width="12" style="18" customWidth="1"/>
    <col min="5" max="5" width="13.85546875" style="18" bestFit="1" customWidth="1"/>
    <col min="6" max="6" width="13.7109375" style="18" customWidth="1"/>
    <col min="7" max="7" width="14.42578125" style="18" customWidth="1"/>
    <col min="8" max="8" width="14.5703125" style="18" customWidth="1"/>
    <col min="9" max="9" width="13.140625" style="18" customWidth="1"/>
    <col min="10" max="10" width="15.85546875" style="19" customWidth="1"/>
    <col min="11" max="11" width="14.7109375" style="19" customWidth="1"/>
    <col min="12" max="12" width="12.7109375" style="18" customWidth="1"/>
    <col min="13" max="13" width="14.140625" style="18" customWidth="1"/>
    <col min="14" max="14" width="17.42578125" style="179" customWidth="1"/>
    <col min="15" max="15" width="14.5703125" style="18" customWidth="1"/>
    <col min="16" max="16384" width="9.140625" style="18"/>
  </cols>
  <sheetData>
    <row r="2" spans="1:16" x14ac:dyDescent="0.25">
      <c r="A2" s="20" t="s">
        <v>211</v>
      </c>
    </row>
    <row r="3" spans="1:16" x14ac:dyDescent="0.25">
      <c r="A3" s="182" t="s">
        <v>212</v>
      </c>
      <c r="M3" s="18">
        <f>81+40</f>
        <v>121</v>
      </c>
    </row>
    <row r="4" spans="1:16" x14ac:dyDescent="0.25">
      <c r="A4" s="181" t="s">
        <v>277</v>
      </c>
    </row>
    <row r="5" spans="1:16" x14ac:dyDescent="0.25">
      <c r="A5" s="220" t="s">
        <v>208</v>
      </c>
    </row>
    <row r="6" spans="1:16" s="20" customFormat="1" x14ac:dyDescent="0.25">
      <c r="F6" s="22"/>
      <c r="G6" s="22"/>
      <c r="H6" s="22"/>
      <c r="I6" s="22"/>
      <c r="J6" s="23"/>
      <c r="K6" s="23"/>
      <c r="N6" s="179"/>
    </row>
    <row r="7" spans="1:16" s="20" customFormat="1" x14ac:dyDescent="0.25">
      <c r="B7" s="176"/>
      <c r="C7" s="176"/>
      <c r="D7" s="176"/>
      <c r="H7" s="383" t="s">
        <v>23</v>
      </c>
      <c r="I7" s="383"/>
      <c r="J7" s="24">
        <v>234000</v>
      </c>
      <c r="K7" s="20" t="s">
        <v>22</v>
      </c>
      <c r="N7" s="179"/>
    </row>
    <row r="8" spans="1:16" s="20" customFormat="1" ht="19.899999999999999" customHeight="1" x14ac:dyDescent="0.25">
      <c r="A8" s="384" t="s">
        <v>209</v>
      </c>
      <c r="B8" s="308"/>
      <c r="C8" s="309"/>
      <c r="D8" s="309"/>
      <c r="E8" s="310"/>
      <c r="F8" s="308"/>
      <c r="G8" s="309"/>
      <c r="H8" s="309"/>
      <c r="I8" s="310"/>
      <c r="J8" s="310"/>
      <c r="K8" s="310"/>
      <c r="L8" s="310"/>
      <c r="M8" s="375" t="s">
        <v>218</v>
      </c>
      <c r="P8" s="179"/>
    </row>
    <row r="9" spans="1:16" s="20" customFormat="1" ht="17.100000000000001" customHeight="1" x14ac:dyDescent="0.25">
      <c r="A9" s="384"/>
      <c r="B9" s="317" t="s">
        <v>1</v>
      </c>
      <c r="C9" s="317" t="s">
        <v>2</v>
      </c>
      <c r="D9" s="317" t="s">
        <v>3</v>
      </c>
      <c r="E9" s="317" t="s">
        <v>4</v>
      </c>
      <c r="F9" s="317" t="s">
        <v>5</v>
      </c>
      <c r="G9" s="316" t="s">
        <v>16</v>
      </c>
      <c r="H9" s="316" t="s">
        <v>17</v>
      </c>
      <c r="I9" s="316" t="s">
        <v>18</v>
      </c>
      <c r="J9" s="315" t="s">
        <v>253</v>
      </c>
      <c r="K9" s="315" t="s">
        <v>254</v>
      </c>
      <c r="L9" s="376" t="s">
        <v>21</v>
      </c>
      <c r="M9" s="375"/>
      <c r="N9" s="311" t="s">
        <v>198</v>
      </c>
      <c r="O9" s="312"/>
      <c r="P9" s="312"/>
    </row>
    <row r="10" spans="1:16" s="25" customFormat="1" ht="21.75" customHeight="1" x14ac:dyDescent="0.25">
      <c r="A10" s="384"/>
      <c r="B10" s="9">
        <f>1.22-(1.22*5%)</f>
        <v>1.159</v>
      </c>
      <c r="C10" s="12">
        <f>B10*1.3</f>
        <v>1.5067000000000002</v>
      </c>
      <c r="D10" s="12">
        <f>C10*1.3</f>
        <v>1.9587100000000002</v>
      </c>
      <c r="E10" s="12">
        <f>D10*1.3</f>
        <v>2.5463230000000001</v>
      </c>
      <c r="F10" s="12">
        <f>E10*1.3</f>
        <v>3.3102199000000003</v>
      </c>
      <c r="G10" s="314">
        <f>F10*1.4</f>
        <v>4.6343078599999998</v>
      </c>
      <c r="H10" s="314">
        <f>G10*1.4</f>
        <v>6.4880310039999998</v>
      </c>
      <c r="I10" s="314">
        <f>H10*1.4</f>
        <v>9.0832434055999993</v>
      </c>
      <c r="J10" s="313">
        <f>I10*1.45</f>
        <v>13.170702938119998</v>
      </c>
      <c r="K10" s="313">
        <f>J10*1.45</f>
        <v>19.097519260273998</v>
      </c>
      <c r="L10" s="377"/>
      <c r="M10" s="375"/>
      <c r="N10" s="311"/>
      <c r="O10" s="312"/>
      <c r="P10" s="312"/>
    </row>
    <row r="11" spans="1:16" ht="18" customHeight="1" x14ac:dyDescent="0.25">
      <c r="A11" s="26" t="s">
        <v>7</v>
      </c>
      <c r="B11" s="27">
        <f t="shared" ref="B11:I11" si="0">ROUNDDOWN(B15*$L$11,-3)</f>
        <v>79000</v>
      </c>
      <c r="C11" s="27">
        <f t="shared" si="0"/>
        <v>103000</v>
      </c>
      <c r="D11" s="27">
        <f t="shared" si="0"/>
        <v>134000</v>
      </c>
      <c r="E11" s="27">
        <f t="shared" si="0"/>
        <v>174000</v>
      </c>
      <c r="F11" s="27">
        <f t="shared" si="0"/>
        <v>227000</v>
      </c>
      <c r="G11" s="27">
        <f t="shared" si="0"/>
        <v>318000</v>
      </c>
      <c r="H11" s="27">
        <f t="shared" si="0"/>
        <v>446000</v>
      </c>
      <c r="I11" s="27">
        <f t="shared" si="0"/>
        <v>624000</v>
      </c>
      <c r="J11" s="27">
        <f t="shared" ref="J11:K11" si="1">ROUNDDOWN(J15*$L$11,-3)</f>
        <v>905000</v>
      </c>
      <c r="K11" s="27">
        <f t="shared" si="1"/>
        <v>1313000</v>
      </c>
      <c r="L11" s="225">
        <v>0.49</v>
      </c>
      <c r="M11" s="267">
        <f>B11/B20</f>
        <v>0.13119654571120154</v>
      </c>
      <c r="N11" s="18"/>
      <c r="O11" s="179">
        <v>120000</v>
      </c>
      <c r="P11" s="179"/>
    </row>
    <row r="12" spans="1:16" ht="18" customHeight="1" x14ac:dyDescent="0.25">
      <c r="A12" s="26" t="s">
        <v>8</v>
      </c>
      <c r="B12" s="27">
        <f t="shared" ref="B12:I12" si="2">ROUNDDOWN(B15*$L$12,-3)</f>
        <v>79000</v>
      </c>
      <c r="C12" s="27">
        <f t="shared" si="2"/>
        <v>103000</v>
      </c>
      <c r="D12" s="27">
        <f t="shared" si="2"/>
        <v>134000</v>
      </c>
      <c r="E12" s="27">
        <f t="shared" si="2"/>
        <v>174000</v>
      </c>
      <c r="F12" s="27">
        <f t="shared" si="2"/>
        <v>227000</v>
      </c>
      <c r="G12" s="27">
        <f t="shared" si="2"/>
        <v>318000</v>
      </c>
      <c r="H12" s="27">
        <f t="shared" si="2"/>
        <v>446000</v>
      </c>
      <c r="I12" s="27">
        <f t="shared" si="2"/>
        <v>624000</v>
      </c>
      <c r="J12" s="27">
        <f t="shared" ref="J12:K12" si="3">ROUNDDOWN(J15*$L$12,-3)</f>
        <v>905000</v>
      </c>
      <c r="K12" s="27">
        <f t="shared" si="3"/>
        <v>1313000</v>
      </c>
      <c r="L12" s="225">
        <v>0.49</v>
      </c>
      <c r="M12" s="267">
        <f>B12/B20</f>
        <v>0.13119654571120154</v>
      </c>
      <c r="N12" s="18"/>
      <c r="O12" s="179">
        <v>120000</v>
      </c>
      <c r="P12" s="179"/>
    </row>
    <row r="13" spans="1:16" ht="18" customHeight="1" x14ac:dyDescent="0.25">
      <c r="A13" s="29" t="s">
        <v>15</v>
      </c>
      <c r="B13" s="27">
        <f t="shared" ref="B13:I13" si="4">ROUNDDOWN(B15*$L$13,-3)</f>
        <v>37000</v>
      </c>
      <c r="C13" s="27">
        <f t="shared" si="4"/>
        <v>48000</v>
      </c>
      <c r="D13" s="27">
        <f t="shared" si="4"/>
        <v>63000</v>
      </c>
      <c r="E13" s="27">
        <f t="shared" si="4"/>
        <v>82000</v>
      </c>
      <c r="F13" s="27">
        <f t="shared" si="4"/>
        <v>106000</v>
      </c>
      <c r="G13" s="27">
        <f t="shared" si="4"/>
        <v>149000</v>
      </c>
      <c r="H13" s="27">
        <f t="shared" si="4"/>
        <v>209000</v>
      </c>
      <c r="I13" s="27">
        <f t="shared" si="4"/>
        <v>293000</v>
      </c>
      <c r="J13" s="27">
        <f t="shared" ref="J13:K13" si="5">ROUNDDOWN(J15*$L$13,-3)</f>
        <v>425000</v>
      </c>
      <c r="K13" s="27">
        <f t="shared" si="5"/>
        <v>616000</v>
      </c>
      <c r="L13" s="225">
        <v>0.23</v>
      </c>
      <c r="M13" s="267">
        <f>B13/B20</f>
        <v>6.1446483434360211E-2</v>
      </c>
      <c r="N13" s="177"/>
      <c r="O13" s="179">
        <v>42000</v>
      </c>
      <c r="P13" s="179"/>
    </row>
    <row r="14" spans="1:16" ht="18" customHeight="1" x14ac:dyDescent="0.25">
      <c r="A14" s="26" t="s">
        <v>10</v>
      </c>
      <c r="B14" s="27">
        <f t="shared" ref="B14:I14" si="6">ROUNDDOWN(B15*$L$14,-3)</f>
        <v>40000</v>
      </c>
      <c r="C14" s="27">
        <f t="shared" si="6"/>
        <v>52000</v>
      </c>
      <c r="D14" s="27">
        <f t="shared" si="6"/>
        <v>68000</v>
      </c>
      <c r="E14" s="27">
        <f t="shared" si="6"/>
        <v>89000</v>
      </c>
      <c r="F14" s="27">
        <f t="shared" si="6"/>
        <v>116000</v>
      </c>
      <c r="G14" s="27">
        <f t="shared" si="6"/>
        <v>162000</v>
      </c>
      <c r="H14" s="27">
        <f t="shared" si="6"/>
        <v>227000</v>
      </c>
      <c r="I14" s="27">
        <f t="shared" si="6"/>
        <v>318000</v>
      </c>
      <c r="J14" s="27">
        <f t="shared" ref="J14:K14" si="7">ROUNDDOWN(J15*$L$14,-3)</f>
        <v>462000</v>
      </c>
      <c r="K14" s="27">
        <f t="shared" si="7"/>
        <v>670000</v>
      </c>
      <c r="L14" s="28">
        <v>0.25</v>
      </c>
      <c r="M14" s="267">
        <f>B14/B20</f>
        <v>6.6428630739848879E-2</v>
      </c>
      <c r="N14" s="18"/>
      <c r="O14" s="179"/>
      <c r="P14" s="179"/>
    </row>
    <row r="15" spans="1:16" s="46" customFormat="1" ht="18" customHeight="1" x14ac:dyDescent="0.25">
      <c r="A15" s="44" t="s">
        <v>19</v>
      </c>
      <c r="B15" s="167">
        <f>ROUNDDOWN(B10*$J$7,-3)*60%</f>
        <v>162600</v>
      </c>
      <c r="C15" s="167">
        <f t="shared" ref="C15:I15" si="8">ROUNDDOWN(C10*$J$7,-3)*60%</f>
        <v>211200</v>
      </c>
      <c r="D15" s="167">
        <f t="shared" si="8"/>
        <v>274800</v>
      </c>
      <c r="E15" s="167">
        <f t="shared" si="8"/>
        <v>357000</v>
      </c>
      <c r="F15" s="167">
        <f>ROUNDDOWN(F10*$J$7,-3)*60%</f>
        <v>464400</v>
      </c>
      <c r="G15" s="167">
        <f t="shared" si="8"/>
        <v>650400</v>
      </c>
      <c r="H15" s="167">
        <f t="shared" si="8"/>
        <v>910800</v>
      </c>
      <c r="I15" s="167">
        <f t="shared" si="8"/>
        <v>1275000</v>
      </c>
      <c r="J15" s="167">
        <f t="shared" ref="J15:K15" si="9">ROUNDDOWN(J10*$J$7,-3)*60%</f>
        <v>1848600</v>
      </c>
      <c r="K15" s="167">
        <f t="shared" si="9"/>
        <v>2680800</v>
      </c>
      <c r="L15" s="45">
        <v>1</v>
      </c>
      <c r="M15" s="268">
        <f>B15/B20</f>
        <v>0.27003238395748569</v>
      </c>
      <c r="O15" s="180">
        <v>120000</v>
      </c>
    </row>
    <row r="16" spans="1:16" ht="36.75" x14ac:dyDescent="0.25">
      <c r="A16" s="373" t="s">
        <v>274</v>
      </c>
      <c r="B16" s="261">
        <f>53000+53000*35%</f>
        <v>71550</v>
      </c>
      <c r="C16" s="261">
        <f t="shared" ref="C16:I16" si="10">ROUNDDOWN(C15*$L$16,-3)</f>
        <v>63000</v>
      </c>
      <c r="D16" s="261">
        <f t="shared" si="10"/>
        <v>82000</v>
      </c>
      <c r="E16" s="261">
        <f t="shared" si="10"/>
        <v>107000</v>
      </c>
      <c r="F16" s="261">
        <f t="shared" si="10"/>
        <v>139000</v>
      </c>
      <c r="G16" s="261">
        <f t="shared" si="10"/>
        <v>195000</v>
      </c>
      <c r="H16" s="261">
        <f t="shared" si="10"/>
        <v>273000</v>
      </c>
      <c r="I16" s="261">
        <f t="shared" si="10"/>
        <v>382000</v>
      </c>
      <c r="J16" s="261">
        <f t="shared" ref="J16:K16" si="11">ROUNDDOWN(J15*$L$16,-3)</f>
        <v>554000</v>
      </c>
      <c r="K16" s="261">
        <f t="shared" si="11"/>
        <v>804000</v>
      </c>
      <c r="L16" s="374">
        <v>0.3</v>
      </c>
      <c r="M16" s="269">
        <f>B16/B20</f>
        <v>0.11882421323590467</v>
      </c>
      <c r="N16" s="318" t="s">
        <v>255</v>
      </c>
      <c r="O16" s="179">
        <v>60000</v>
      </c>
      <c r="P16" s="179"/>
    </row>
    <row r="17" spans="1:16" x14ac:dyDescent="0.25">
      <c r="A17" s="373" t="s">
        <v>275</v>
      </c>
      <c r="B17" s="261">
        <f>40000+40000*35%</f>
        <v>54000</v>
      </c>
      <c r="C17" s="261">
        <f t="shared" ref="C17:K17" si="12">ROUNDDOWN(C15*$L$16,-3)</f>
        <v>63000</v>
      </c>
      <c r="D17" s="261">
        <f t="shared" si="12"/>
        <v>82000</v>
      </c>
      <c r="E17" s="261">
        <f t="shared" si="12"/>
        <v>107000</v>
      </c>
      <c r="F17" s="261">
        <f t="shared" si="12"/>
        <v>139000</v>
      </c>
      <c r="G17" s="261">
        <f t="shared" si="12"/>
        <v>195000</v>
      </c>
      <c r="H17" s="261">
        <f t="shared" si="12"/>
        <v>273000</v>
      </c>
      <c r="I17" s="261">
        <f t="shared" si="12"/>
        <v>382000</v>
      </c>
      <c r="J17" s="261">
        <f t="shared" si="12"/>
        <v>554000</v>
      </c>
      <c r="K17" s="261">
        <f t="shared" si="12"/>
        <v>804000</v>
      </c>
      <c r="L17" s="374">
        <v>0.25</v>
      </c>
      <c r="M17" s="269"/>
      <c r="N17" s="318"/>
      <c r="O17" s="179"/>
      <c r="P17" s="179"/>
    </row>
    <row r="18" spans="1:16" ht="18" customHeight="1" x14ac:dyDescent="0.25">
      <c r="A18" s="26" t="s">
        <v>276</v>
      </c>
      <c r="B18" s="27"/>
      <c r="C18" s="27"/>
      <c r="D18" s="27"/>
      <c r="E18" s="27"/>
      <c r="F18" s="27"/>
      <c r="G18" s="27"/>
      <c r="H18" s="27"/>
      <c r="I18" s="27"/>
      <c r="J18" s="27"/>
      <c r="K18" s="27"/>
      <c r="L18" s="28">
        <v>0.7</v>
      </c>
      <c r="M18" s="267"/>
      <c r="N18" s="319"/>
      <c r="O18" s="179"/>
      <c r="P18" s="179"/>
    </row>
    <row r="19" spans="1:16" ht="18" customHeight="1" x14ac:dyDescent="0.25">
      <c r="A19" s="26" t="s">
        <v>11</v>
      </c>
      <c r="B19" s="27">
        <f t="shared" ref="B19:I19" si="13">ROUNDDOWN(B15*$L$19,-3)</f>
        <v>79000</v>
      </c>
      <c r="C19" s="27">
        <f t="shared" si="13"/>
        <v>103000</v>
      </c>
      <c r="D19" s="27">
        <f t="shared" si="13"/>
        <v>134000</v>
      </c>
      <c r="E19" s="27">
        <f t="shared" si="13"/>
        <v>174000</v>
      </c>
      <c r="F19" s="27">
        <f t="shared" si="13"/>
        <v>227000</v>
      </c>
      <c r="G19" s="27">
        <f t="shared" si="13"/>
        <v>318000</v>
      </c>
      <c r="H19" s="27">
        <f t="shared" si="13"/>
        <v>446000</v>
      </c>
      <c r="I19" s="27">
        <f t="shared" si="13"/>
        <v>624000</v>
      </c>
      <c r="J19" s="27">
        <f t="shared" ref="J19:K19" si="14">ROUNDDOWN(J15*$L$19,-3)</f>
        <v>905000</v>
      </c>
      <c r="K19" s="27">
        <f t="shared" si="14"/>
        <v>1313000</v>
      </c>
      <c r="L19" s="225">
        <v>0.49</v>
      </c>
      <c r="M19" s="267">
        <f>B19/B20</f>
        <v>0.13119654571120154</v>
      </c>
      <c r="N19" s="177"/>
      <c r="O19" s="179">
        <v>81000</v>
      </c>
      <c r="P19" s="179"/>
    </row>
    <row r="20" spans="1:16" s="20" customFormat="1" ht="21.75" customHeight="1" x14ac:dyDescent="0.25">
      <c r="A20" s="41" t="s">
        <v>205</v>
      </c>
      <c r="B20" s="42">
        <f t="shared" ref="B20:K20" si="15">SUM(B11:B19)</f>
        <v>602150</v>
      </c>
      <c r="C20" s="42">
        <f t="shared" si="15"/>
        <v>746200</v>
      </c>
      <c r="D20" s="42">
        <f t="shared" si="15"/>
        <v>971800</v>
      </c>
      <c r="E20" s="42">
        <f t="shared" si="15"/>
        <v>1264000</v>
      </c>
      <c r="F20" s="42">
        <f t="shared" si="15"/>
        <v>1645400</v>
      </c>
      <c r="G20" s="42">
        <f t="shared" si="15"/>
        <v>2305400</v>
      </c>
      <c r="H20" s="42">
        <f t="shared" si="15"/>
        <v>3230800</v>
      </c>
      <c r="I20" s="42">
        <f t="shared" si="15"/>
        <v>4522000</v>
      </c>
      <c r="J20" s="42">
        <f t="shared" si="15"/>
        <v>6558600</v>
      </c>
      <c r="K20" s="42">
        <f t="shared" si="15"/>
        <v>9513800</v>
      </c>
      <c r="L20" s="43"/>
      <c r="M20" s="270">
        <f>SUM(M11:M19)</f>
        <v>0.91032134850120405</v>
      </c>
      <c r="P20" s="178"/>
    </row>
    <row r="24" spans="1:16" x14ac:dyDescent="0.25">
      <c r="A24" s="182" t="s">
        <v>265</v>
      </c>
    </row>
    <row r="25" spans="1:16" x14ac:dyDescent="0.25">
      <c r="A25" s="18" t="s">
        <v>213</v>
      </c>
    </row>
    <row r="26" spans="1:16" ht="16.5" customHeight="1" x14ac:dyDescent="0.25">
      <c r="A26" s="378" t="s">
        <v>266</v>
      </c>
      <c r="B26" s="378"/>
      <c r="C26" s="378"/>
      <c r="D26" s="378"/>
      <c r="E26" s="378"/>
      <c r="F26" s="378"/>
      <c r="G26" s="383" t="s">
        <v>23</v>
      </c>
      <c r="H26" s="383"/>
      <c r="I26" s="24">
        <v>234000</v>
      </c>
      <c r="J26" s="20" t="s">
        <v>22</v>
      </c>
      <c r="K26" s="20"/>
    </row>
    <row r="27" spans="1:16" s="20" customFormat="1" x14ac:dyDescent="0.25">
      <c r="A27" s="379"/>
      <c r="B27" s="379"/>
      <c r="C27" s="379"/>
      <c r="D27" s="379"/>
      <c r="E27" s="379"/>
      <c r="F27" s="379"/>
      <c r="N27" s="179"/>
    </row>
    <row r="28" spans="1:16" s="20" customFormat="1" ht="19.899999999999999" customHeight="1" x14ac:dyDescent="0.25">
      <c r="A28" s="384" t="s">
        <v>209</v>
      </c>
      <c r="B28" s="6"/>
      <c r="C28" s="6"/>
      <c r="D28" s="6" t="s">
        <v>279</v>
      </c>
      <c r="E28" s="6"/>
      <c r="F28" s="343"/>
      <c r="G28" s="343"/>
      <c r="H28" s="343"/>
      <c r="I28" s="343"/>
      <c r="J28" s="343"/>
      <c r="K28" s="343"/>
      <c r="L28" s="380" t="s">
        <v>218</v>
      </c>
      <c r="M28" s="292" t="s">
        <v>21</v>
      </c>
      <c r="O28" s="259"/>
    </row>
    <row r="29" spans="1:16" s="20" customFormat="1" ht="17.100000000000001" customHeight="1" x14ac:dyDescent="0.25">
      <c r="A29" s="384"/>
      <c r="B29" s="8" t="s">
        <v>1</v>
      </c>
      <c r="C29" s="8" t="s">
        <v>2</v>
      </c>
      <c r="D29" s="8" t="s">
        <v>3</v>
      </c>
      <c r="E29" s="8" t="s">
        <v>4</v>
      </c>
      <c r="F29" s="8" t="s">
        <v>5</v>
      </c>
      <c r="G29" s="305" t="s">
        <v>16</v>
      </c>
      <c r="H29" s="305" t="s">
        <v>17</v>
      </c>
      <c r="I29" s="305" t="s">
        <v>18</v>
      </c>
      <c r="J29" s="8" t="s">
        <v>253</v>
      </c>
      <c r="K29" s="8" t="s">
        <v>254</v>
      </c>
      <c r="L29" s="381"/>
      <c r="M29" s="293"/>
      <c r="O29" s="259"/>
    </row>
    <row r="30" spans="1:16" s="25" customFormat="1" ht="17.25" customHeight="1" x14ac:dyDescent="0.25">
      <c r="A30" s="384"/>
      <c r="B30" s="264">
        <f>0.35</f>
        <v>0.35</v>
      </c>
      <c r="C30" s="12">
        <f>B30*1.3</f>
        <v>0.45499999999999996</v>
      </c>
      <c r="D30" s="12">
        <f>C30*1.3</f>
        <v>0.59149999999999991</v>
      </c>
      <c r="E30" s="12">
        <f>D30*2</f>
        <v>1.1829999999999998</v>
      </c>
      <c r="F30" s="12">
        <f>E30*2</f>
        <v>2.3659999999999997</v>
      </c>
      <c r="G30" s="12">
        <f>F30*1.4</f>
        <v>3.3123999999999993</v>
      </c>
      <c r="H30" s="12">
        <f>G30*1.4</f>
        <v>4.6373599999999984</v>
      </c>
      <c r="I30" s="12">
        <f>H30*1.4</f>
        <v>6.4923039999999972</v>
      </c>
      <c r="J30" s="12">
        <f>I30*1.5</f>
        <v>9.7384559999999958</v>
      </c>
      <c r="K30" s="12">
        <f>J30*1.5</f>
        <v>14.607683999999994</v>
      </c>
      <c r="L30" s="382"/>
      <c r="M30" s="294"/>
      <c r="N30" s="259"/>
      <c r="O30" s="265" t="s">
        <v>214</v>
      </c>
    </row>
    <row r="31" spans="1:16" ht="18" customHeight="1" x14ac:dyDescent="0.25">
      <c r="A31" s="26" t="s">
        <v>7</v>
      </c>
      <c r="B31" s="27">
        <f t="shared" ref="B31:K31" si="16">ROUNDDOWN(B35*$M$31,-3)</f>
        <v>32000</v>
      </c>
      <c r="C31" s="27">
        <f t="shared" si="16"/>
        <v>42000</v>
      </c>
      <c r="D31" s="27">
        <f t="shared" si="16"/>
        <v>55000</v>
      </c>
      <c r="E31" s="27">
        <f t="shared" si="16"/>
        <v>110000</v>
      </c>
      <c r="F31" s="27">
        <f t="shared" si="16"/>
        <v>221000</v>
      </c>
      <c r="G31" s="27">
        <f t="shared" si="16"/>
        <v>310000</v>
      </c>
      <c r="H31" s="27">
        <f t="shared" si="16"/>
        <v>434000</v>
      </c>
      <c r="I31" s="27">
        <f t="shared" si="16"/>
        <v>607000</v>
      </c>
      <c r="J31" s="27">
        <f t="shared" si="16"/>
        <v>911000</v>
      </c>
      <c r="K31" s="27">
        <f t="shared" si="16"/>
        <v>1367000</v>
      </c>
      <c r="L31" s="271">
        <f>B31/B49</f>
        <v>8.8642659279778394E-2</v>
      </c>
      <c r="M31" s="225">
        <v>0.4</v>
      </c>
      <c r="N31" s="259"/>
    </row>
    <row r="32" spans="1:16" ht="18" customHeight="1" x14ac:dyDescent="0.25">
      <c r="A32" s="26" t="s">
        <v>8</v>
      </c>
      <c r="B32" s="27">
        <f>ROUNDDOWN(B35*$M$32,-3)</f>
        <v>32000</v>
      </c>
      <c r="C32" s="27">
        <f t="shared" ref="C32:H32" si="17">ROUNDDOWN(C35*$L$12,-3)</f>
        <v>51000</v>
      </c>
      <c r="D32" s="27">
        <f t="shared" si="17"/>
        <v>67000</v>
      </c>
      <c r="E32" s="27">
        <f t="shared" si="17"/>
        <v>135000</v>
      </c>
      <c r="F32" s="27">
        <f t="shared" si="17"/>
        <v>270000</v>
      </c>
      <c r="G32" s="27">
        <f t="shared" si="17"/>
        <v>379000</v>
      </c>
      <c r="H32" s="27">
        <f t="shared" si="17"/>
        <v>531000</v>
      </c>
      <c r="I32" s="27">
        <f t="shared" ref="I32:J32" si="18">ROUNDDOWN(I35*$L$12,-3)</f>
        <v>744000</v>
      </c>
      <c r="J32" s="27">
        <f t="shared" si="18"/>
        <v>1116000</v>
      </c>
      <c r="K32" s="27">
        <f t="shared" ref="K32" si="19">ROUNDDOWN(K35*$L$12,-3)</f>
        <v>1674000</v>
      </c>
      <c r="L32" s="271">
        <f>B32/B49</f>
        <v>8.8642659279778394E-2</v>
      </c>
      <c r="M32" s="225">
        <v>0.4</v>
      </c>
      <c r="N32" s="259"/>
      <c r="O32" s="179">
        <v>100000</v>
      </c>
    </row>
    <row r="33" spans="1:15" ht="18" customHeight="1" x14ac:dyDescent="0.25">
      <c r="A33" s="29" t="s">
        <v>15</v>
      </c>
      <c r="B33" s="27">
        <f t="shared" ref="B33:K33" si="20">ROUNDDOWN(B35*$M$33,-3)</f>
        <v>28000</v>
      </c>
      <c r="C33" s="27">
        <f t="shared" si="20"/>
        <v>37000</v>
      </c>
      <c r="D33" s="27">
        <f t="shared" si="20"/>
        <v>48000</v>
      </c>
      <c r="E33" s="27">
        <f t="shared" si="20"/>
        <v>96000</v>
      </c>
      <c r="F33" s="27">
        <f t="shared" si="20"/>
        <v>193000</v>
      </c>
      <c r="G33" s="27">
        <f t="shared" si="20"/>
        <v>271000</v>
      </c>
      <c r="H33" s="27">
        <f t="shared" si="20"/>
        <v>379000</v>
      </c>
      <c r="I33" s="27">
        <f t="shared" si="20"/>
        <v>531000</v>
      </c>
      <c r="J33" s="27">
        <f t="shared" si="20"/>
        <v>797000</v>
      </c>
      <c r="K33" s="27">
        <f t="shared" si="20"/>
        <v>1196000</v>
      </c>
      <c r="L33" s="271">
        <f>B33/B49</f>
        <v>7.7562326869806089E-2</v>
      </c>
      <c r="M33" s="28">
        <v>0.35</v>
      </c>
      <c r="N33" s="259"/>
      <c r="O33" s="179"/>
    </row>
    <row r="34" spans="1:15" ht="18" customHeight="1" x14ac:dyDescent="0.25">
      <c r="A34" s="26" t="s">
        <v>10</v>
      </c>
      <c r="B34" s="27">
        <f>ROUNDDOWN(B35*$M$34,-3)</f>
        <v>8000</v>
      </c>
      <c r="C34" s="27">
        <f t="shared" ref="C34:H34" si="21">ROUNDDOWN(C35*$L$14,-3)</f>
        <v>26000</v>
      </c>
      <c r="D34" s="27">
        <f t="shared" si="21"/>
        <v>34000</v>
      </c>
      <c r="E34" s="27">
        <f t="shared" si="21"/>
        <v>69000</v>
      </c>
      <c r="F34" s="27">
        <f t="shared" si="21"/>
        <v>138000</v>
      </c>
      <c r="G34" s="27">
        <f t="shared" si="21"/>
        <v>193000</v>
      </c>
      <c r="H34" s="27">
        <f t="shared" si="21"/>
        <v>271000</v>
      </c>
      <c r="I34" s="27">
        <f t="shared" ref="I34" si="22">ROUNDDOWN(I35*$L$14,-3)</f>
        <v>379000</v>
      </c>
      <c r="J34" s="27">
        <f t="shared" ref="J34:K34" si="23">ROUNDDOWN(J35*$L$14,-3)</f>
        <v>569000</v>
      </c>
      <c r="K34" s="27">
        <f t="shared" si="23"/>
        <v>854000</v>
      </c>
      <c r="L34" s="271">
        <f>B34/B49</f>
        <v>2.2160664819944598E-2</v>
      </c>
      <c r="M34" s="28">
        <v>0.1</v>
      </c>
      <c r="N34" s="259"/>
      <c r="O34" s="179">
        <v>100000</v>
      </c>
    </row>
    <row r="35" spans="1:15" s="46" customFormat="1" ht="18" customHeight="1" x14ac:dyDescent="0.25">
      <c r="A35" s="44" t="s">
        <v>19</v>
      </c>
      <c r="B35" s="167">
        <f>ROUNDDOWN(B30*$I$26,-3)</f>
        <v>81000</v>
      </c>
      <c r="C35" s="167">
        <f>ROUNDDOWN(C30*$I$26,-3)</f>
        <v>106000</v>
      </c>
      <c r="D35" s="167">
        <f>ROUNDDOWN(D30*$I$26,-3)</f>
        <v>138000</v>
      </c>
      <c r="E35" s="167">
        <f>ROUNDDOWN(E30*$I$26,-3)</f>
        <v>276000</v>
      </c>
      <c r="F35" s="167">
        <f t="shared" ref="F35:H35" si="24">ROUNDDOWN(F30*$I$26,-3)</f>
        <v>553000</v>
      </c>
      <c r="G35" s="167">
        <f t="shared" si="24"/>
        <v>775000</v>
      </c>
      <c r="H35" s="167">
        <f t="shared" si="24"/>
        <v>1085000</v>
      </c>
      <c r="I35" s="167">
        <f t="shared" ref="I35:J35" si="25">ROUNDDOWN(I30*$I$26,-3)</f>
        <v>1519000</v>
      </c>
      <c r="J35" s="167">
        <f t="shared" si="25"/>
        <v>2278000</v>
      </c>
      <c r="K35" s="167">
        <f t="shared" ref="K35" si="26">ROUNDDOWN(K30*$I$26,-3)</f>
        <v>3418000</v>
      </c>
      <c r="L35" s="272">
        <f>B35/B49</f>
        <v>0.22437673130193905</v>
      </c>
      <c r="M35" s="45">
        <v>1</v>
      </c>
      <c r="N35" s="259"/>
      <c r="O35" s="180"/>
    </row>
    <row r="36" spans="1:15" x14ac:dyDescent="0.25">
      <c r="A36" s="26" t="s">
        <v>274</v>
      </c>
      <c r="B36" s="27">
        <f t="shared" ref="B36:K36" si="27">ROUNDDOWN(B35*$M$36,-3)</f>
        <v>36000</v>
      </c>
      <c r="C36" s="27">
        <f t="shared" si="27"/>
        <v>47000</v>
      </c>
      <c r="D36" s="27">
        <f t="shared" si="27"/>
        <v>62000</v>
      </c>
      <c r="E36" s="27">
        <f t="shared" si="27"/>
        <v>124000</v>
      </c>
      <c r="F36" s="27">
        <f t="shared" si="27"/>
        <v>248000</v>
      </c>
      <c r="G36" s="27">
        <f t="shared" si="27"/>
        <v>348000</v>
      </c>
      <c r="H36" s="27">
        <f t="shared" si="27"/>
        <v>488000</v>
      </c>
      <c r="I36" s="27">
        <f t="shared" si="27"/>
        <v>683000</v>
      </c>
      <c r="J36" s="27">
        <f t="shared" si="27"/>
        <v>1025000</v>
      </c>
      <c r="K36" s="27">
        <f t="shared" si="27"/>
        <v>1538000</v>
      </c>
      <c r="L36" s="271">
        <f>B36/B49</f>
        <v>9.9722991689750698E-2</v>
      </c>
      <c r="M36" s="28">
        <v>0.45</v>
      </c>
      <c r="N36" s="259"/>
      <c r="O36" s="179" t="s">
        <v>215</v>
      </c>
    </row>
    <row r="37" spans="1:15" x14ac:dyDescent="0.25">
      <c r="A37" s="26" t="s">
        <v>280</v>
      </c>
      <c r="B37" s="27"/>
      <c r="C37" s="27"/>
      <c r="D37" s="27"/>
      <c r="E37" s="27"/>
      <c r="F37" s="27"/>
      <c r="G37" s="27"/>
      <c r="H37" s="27"/>
      <c r="I37" s="27"/>
      <c r="J37" s="27"/>
      <c r="K37" s="27"/>
      <c r="L37" s="271"/>
      <c r="M37" s="28"/>
      <c r="N37" s="259"/>
      <c r="O37" s="179"/>
    </row>
    <row r="38" spans="1:15" ht="18" customHeight="1" x14ac:dyDescent="0.25">
      <c r="A38" s="26" t="s">
        <v>278</v>
      </c>
      <c r="B38" s="27"/>
      <c r="C38" s="27"/>
      <c r="D38" s="27"/>
      <c r="E38" s="27"/>
      <c r="F38" s="27"/>
      <c r="G38" s="27"/>
      <c r="H38" s="27"/>
      <c r="I38" s="27"/>
      <c r="J38" s="27"/>
      <c r="K38" s="27"/>
      <c r="L38" s="271"/>
      <c r="M38" s="28">
        <v>0.7</v>
      </c>
      <c r="N38" s="259"/>
      <c r="O38" s="179"/>
    </row>
    <row r="39" spans="1:15" ht="18" customHeight="1" x14ac:dyDescent="0.25">
      <c r="A39" s="26" t="s">
        <v>11</v>
      </c>
      <c r="B39" s="27">
        <f t="shared" ref="B39:K39" si="28">ROUNDDOWN(B35*$M$39,-3)</f>
        <v>32000</v>
      </c>
      <c r="C39" s="27">
        <f t="shared" si="28"/>
        <v>42000</v>
      </c>
      <c r="D39" s="27">
        <f t="shared" si="28"/>
        <v>55000</v>
      </c>
      <c r="E39" s="27">
        <f t="shared" si="28"/>
        <v>110000</v>
      </c>
      <c r="F39" s="27">
        <f t="shared" si="28"/>
        <v>221000</v>
      </c>
      <c r="G39" s="27">
        <f t="shared" si="28"/>
        <v>310000</v>
      </c>
      <c r="H39" s="27">
        <f t="shared" si="28"/>
        <v>434000</v>
      </c>
      <c r="I39" s="27">
        <f t="shared" si="28"/>
        <v>607000</v>
      </c>
      <c r="J39" s="27">
        <f t="shared" si="28"/>
        <v>911000</v>
      </c>
      <c r="K39" s="27">
        <f t="shared" si="28"/>
        <v>1367000</v>
      </c>
      <c r="L39" s="271">
        <f>B39/B49</f>
        <v>8.8642659279778394E-2</v>
      </c>
      <c r="M39" s="28">
        <v>0.4</v>
      </c>
      <c r="N39" s="259"/>
      <c r="O39" s="179">
        <v>100000</v>
      </c>
    </row>
    <row r="40" spans="1:15" ht="18" customHeight="1" x14ac:dyDescent="0.25">
      <c r="A40" s="406" t="s">
        <v>221</v>
      </c>
      <c r="B40" s="261">
        <f>ROUNDDOWN(0.3*$I$26,-3)</f>
        <v>70000</v>
      </c>
      <c r="C40" s="261">
        <f>ROUNDDOWN(0.3*$I$26,-3)</f>
        <v>70000</v>
      </c>
      <c r="D40" s="261">
        <f t="shared" ref="D40:K40" si="29">ROUNDDOWN(0.3*$I$26,-3)</f>
        <v>70000</v>
      </c>
      <c r="E40" s="261">
        <f t="shared" si="29"/>
        <v>70000</v>
      </c>
      <c r="F40" s="261">
        <f t="shared" si="29"/>
        <v>70000</v>
      </c>
      <c r="G40" s="261">
        <f t="shared" si="29"/>
        <v>70000</v>
      </c>
      <c r="H40" s="261">
        <f t="shared" si="29"/>
        <v>70000</v>
      </c>
      <c r="I40" s="261">
        <f t="shared" si="29"/>
        <v>70000</v>
      </c>
      <c r="J40" s="261">
        <f t="shared" si="29"/>
        <v>70000</v>
      </c>
      <c r="K40" s="261">
        <f t="shared" si="29"/>
        <v>70000</v>
      </c>
      <c r="L40" s="273">
        <f>B40/B49</f>
        <v>0.19390581717451524</v>
      </c>
      <c r="M40" s="30" t="s">
        <v>219</v>
      </c>
      <c r="N40" s="259"/>
      <c r="O40" s="179">
        <v>50000</v>
      </c>
    </row>
    <row r="41" spans="1:15" ht="25.15" customHeight="1" x14ac:dyDescent="0.25">
      <c r="A41" s="257" t="s">
        <v>210</v>
      </c>
      <c r="B41" s="261">
        <f>ROUNDDOWN(0.18*$I$26,-3)</f>
        <v>42000</v>
      </c>
      <c r="C41" s="261">
        <f>ROUNDDOWN(B41*1.3,-3)</f>
        <v>54000</v>
      </c>
      <c r="D41" s="261">
        <f>ROUNDDOWN(C41*1.3,-3)</f>
        <v>70000</v>
      </c>
      <c r="E41" s="261">
        <f>ROUNDDOWN(D41*1.3,-3)</f>
        <v>91000</v>
      </c>
      <c r="F41" s="261">
        <f t="shared" ref="F41:H41" si="30">ROUNDDOWN(E41*1.3,-3)</f>
        <v>118000</v>
      </c>
      <c r="G41" s="261">
        <f t="shared" si="30"/>
        <v>153000</v>
      </c>
      <c r="H41" s="261">
        <f t="shared" si="30"/>
        <v>198000</v>
      </c>
      <c r="I41" s="261">
        <f t="shared" ref="I41" si="31">ROUNDDOWN(H41*1.3,-3)</f>
        <v>257000</v>
      </c>
      <c r="J41" s="261">
        <f t="shared" ref="J41:K41" si="32">ROUNDDOWN(I41*1.3,-3)</f>
        <v>334000</v>
      </c>
      <c r="K41" s="261">
        <f t="shared" si="32"/>
        <v>434000</v>
      </c>
      <c r="L41" s="274">
        <f>B41/B49</f>
        <v>0.11634349030470914</v>
      </c>
      <c r="M41" s="258" t="s">
        <v>220</v>
      </c>
      <c r="N41" s="18" t="s">
        <v>217</v>
      </c>
      <c r="O41" s="19"/>
    </row>
    <row r="42" spans="1:15" ht="18" customHeight="1" x14ac:dyDescent="0.25">
      <c r="A42" s="407" t="s">
        <v>91</v>
      </c>
      <c r="B42" s="31"/>
      <c r="C42" s="31"/>
      <c r="D42" s="31"/>
      <c r="E42" s="263"/>
      <c r="F42" s="263"/>
      <c r="G42" s="263"/>
      <c r="H42" s="263"/>
      <c r="I42" s="263"/>
      <c r="J42" s="263"/>
      <c r="K42" s="263"/>
      <c r="L42" s="275"/>
      <c r="M42" s="32"/>
      <c r="N42" s="259">
        <v>58000</v>
      </c>
      <c r="O42" s="19"/>
    </row>
    <row r="43" spans="1:15" ht="18" customHeight="1" x14ac:dyDescent="0.25">
      <c r="A43" s="408" t="s">
        <v>86</v>
      </c>
      <c r="B43" s="33"/>
      <c r="C43" s="34"/>
      <c r="D43" s="34"/>
      <c r="E43" s="35"/>
      <c r="F43" s="35"/>
      <c r="G43" s="35"/>
      <c r="H43" s="35"/>
      <c r="I43" s="35"/>
      <c r="J43" s="35"/>
      <c r="K43" s="35"/>
      <c r="L43" s="276"/>
      <c r="M43" s="36"/>
      <c r="N43" s="259">
        <v>50000</v>
      </c>
      <c r="O43" s="19"/>
    </row>
    <row r="44" spans="1:15" ht="18" customHeight="1" x14ac:dyDescent="0.25">
      <c r="A44" s="408" t="s">
        <v>87</v>
      </c>
      <c r="B44" s="33"/>
      <c r="C44" s="34"/>
      <c r="D44" s="34"/>
      <c r="E44" s="35"/>
      <c r="F44" s="35"/>
      <c r="G44" s="35"/>
      <c r="H44" s="35"/>
      <c r="I44" s="35"/>
      <c r="J44" s="35"/>
      <c r="K44" s="35"/>
      <c r="L44" s="276"/>
      <c r="M44" s="36"/>
      <c r="N44" s="259">
        <v>50000</v>
      </c>
      <c r="O44" s="19"/>
    </row>
    <row r="45" spans="1:15" ht="18" customHeight="1" x14ac:dyDescent="0.25">
      <c r="A45" s="408" t="s">
        <v>88</v>
      </c>
      <c r="B45" s="33"/>
      <c r="C45" s="34"/>
      <c r="D45" s="34"/>
      <c r="E45" s="35"/>
      <c r="F45" s="35"/>
      <c r="G45" s="35"/>
      <c r="H45" s="35"/>
      <c r="I45" s="35"/>
      <c r="J45" s="35"/>
      <c r="K45" s="35"/>
      <c r="L45" s="276"/>
      <c r="M45" s="36"/>
      <c r="N45" s="259">
        <v>50000</v>
      </c>
      <c r="O45" s="19"/>
    </row>
    <row r="46" spans="1:15" ht="18" customHeight="1" x14ac:dyDescent="0.25">
      <c r="A46" s="408" t="s">
        <v>89</v>
      </c>
      <c r="B46" s="33"/>
      <c r="C46" s="34"/>
      <c r="D46" s="34"/>
      <c r="E46" s="35"/>
      <c r="F46" s="35"/>
      <c r="G46" s="35"/>
      <c r="H46" s="35"/>
      <c r="I46" s="35"/>
      <c r="J46" s="35"/>
      <c r="K46" s="35"/>
      <c r="L46" s="277"/>
      <c r="M46" s="36"/>
      <c r="N46" s="259">
        <v>50000</v>
      </c>
      <c r="O46" s="19"/>
    </row>
    <row r="47" spans="1:15" ht="18" customHeight="1" x14ac:dyDescent="0.25">
      <c r="A47" s="409" t="s">
        <v>90</v>
      </c>
      <c r="B47" s="33"/>
      <c r="C47" s="34"/>
      <c r="D47" s="34"/>
      <c r="E47" s="37"/>
      <c r="F47" s="37"/>
      <c r="G47" s="37"/>
      <c r="H47" s="37"/>
      <c r="I47" s="37"/>
      <c r="J47" s="37"/>
      <c r="K47" s="37"/>
      <c r="L47" s="276"/>
      <c r="M47" s="36"/>
      <c r="N47" s="259">
        <v>50000</v>
      </c>
      <c r="O47" s="19"/>
    </row>
    <row r="48" spans="1:15" ht="18" customHeight="1" x14ac:dyDescent="0.25">
      <c r="A48" s="410" t="s">
        <v>216</v>
      </c>
      <c r="B48" s="38"/>
      <c r="C48" s="38"/>
      <c r="D48" s="38"/>
      <c r="E48" s="39"/>
      <c r="F48" s="39"/>
      <c r="G48" s="39"/>
      <c r="H48" s="39"/>
      <c r="I48" s="39"/>
      <c r="J48" s="39"/>
      <c r="K48" s="39"/>
      <c r="L48" s="278"/>
      <c r="M48" s="40"/>
      <c r="N48" s="259">
        <v>30000</v>
      </c>
      <c r="O48" s="19"/>
    </row>
    <row r="49" spans="1:15" s="20" customFormat="1" ht="21.75" customHeight="1" x14ac:dyDescent="0.25">
      <c r="A49" s="41" t="s">
        <v>205</v>
      </c>
      <c r="B49" s="42">
        <f>SUM(B31:B48)</f>
        <v>361000</v>
      </c>
      <c r="C49" s="42">
        <f>SUM(C31:C48)</f>
        <v>475000</v>
      </c>
      <c r="D49" s="42">
        <f>SUM(D31:D48)</f>
        <v>599000</v>
      </c>
      <c r="E49" s="42">
        <f>SUM(E31:E48)</f>
        <v>1081000</v>
      </c>
      <c r="F49" s="42">
        <f t="shared" ref="F49:H49" si="33">SUM(F31:F48)</f>
        <v>2032000</v>
      </c>
      <c r="G49" s="42">
        <f t="shared" si="33"/>
        <v>2809000</v>
      </c>
      <c r="H49" s="42">
        <f t="shared" si="33"/>
        <v>3890000</v>
      </c>
      <c r="I49" s="42">
        <f t="shared" ref="I49:J49" si="34">SUM(I31:I48)</f>
        <v>5397000</v>
      </c>
      <c r="J49" s="42">
        <f t="shared" si="34"/>
        <v>8011000</v>
      </c>
      <c r="K49" s="42">
        <f t="shared" ref="K49" si="35">SUM(K31:K48)</f>
        <v>11918000</v>
      </c>
      <c r="L49" s="279">
        <f>SUM(L31:L48)</f>
        <v>1</v>
      </c>
      <c r="M49" s="43"/>
      <c r="O49" s="259"/>
    </row>
    <row r="50" spans="1:15" x14ac:dyDescent="0.25">
      <c r="A50" s="260"/>
      <c r="B50" s="259"/>
      <c r="C50" s="259"/>
      <c r="D50" s="259"/>
      <c r="E50" s="259"/>
      <c r="F50" s="259"/>
      <c r="G50" s="259"/>
      <c r="H50" s="259"/>
      <c r="I50" s="259"/>
    </row>
    <row r="51" spans="1:15" x14ac:dyDescent="0.25">
      <c r="A51" s="18" t="s">
        <v>267</v>
      </c>
    </row>
  </sheetData>
  <mergeCells count="8">
    <mergeCell ref="H7:I7"/>
    <mergeCell ref="M8:M10"/>
    <mergeCell ref="L9:L10"/>
    <mergeCell ref="A26:F27"/>
    <mergeCell ref="L28:L30"/>
    <mergeCell ref="G26:H26"/>
    <mergeCell ref="A28:A30"/>
    <mergeCell ref="A8:A10"/>
  </mergeCells>
  <pageMargins left="0.51181102362204722" right="0.15748031496062992" top="0.31496062992125984" bottom="0.39370078740157483" header="0.31496062992125984" footer="0.19685039370078741"/>
  <pageSetup paperSize="9" scale="7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N28"/>
  <sheetViews>
    <sheetView topLeftCell="A5" zoomScale="148" zoomScaleNormal="148" workbookViewId="0">
      <selection activeCell="A23" sqref="A23"/>
    </sheetView>
  </sheetViews>
  <sheetFormatPr defaultColWidth="9.140625" defaultRowHeight="16.5" x14ac:dyDescent="0.25"/>
  <cols>
    <col min="1" max="1" width="31" style="18" customWidth="1"/>
    <col min="2" max="2" width="11.42578125" style="18" customWidth="1"/>
    <col min="3" max="4" width="11.85546875" style="18" customWidth="1"/>
    <col min="5" max="5" width="11.85546875" style="46" customWidth="1"/>
    <col min="6" max="6" width="11.85546875" style="18" customWidth="1"/>
    <col min="7" max="7" width="13.28515625" style="18" customWidth="1"/>
    <col min="8" max="8" width="13.5703125" style="18" customWidth="1"/>
    <col min="9" max="9" width="12.85546875" style="18" customWidth="1"/>
    <col min="10" max="11" width="13.85546875" style="18" customWidth="1"/>
    <col min="12" max="12" width="11.7109375" style="18" customWidth="1"/>
    <col min="13" max="13" width="9.85546875" style="18" bestFit="1" customWidth="1"/>
    <col min="14" max="14" width="11.42578125" style="18" bestFit="1" customWidth="1"/>
    <col min="15" max="16384" width="9.140625" style="18"/>
  </cols>
  <sheetData>
    <row r="3" spans="1:13" x14ac:dyDescent="0.25">
      <c r="A3" s="224" t="s">
        <v>104</v>
      </c>
    </row>
    <row r="4" spans="1:13" x14ac:dyDescent="0.25">
      <c r="L4" s="18">
        <f>479/2</f>
        <v>239.5</v>
      </c>
    </row>
    <row r="5" spans="1:13" s="20" customFormat="1" x14ac:dyDescent="0.25">
      <c r="A5" s="20" t="s">
        <v>27</v>
      </c>
      <c r="E5" s="197"/>
    </row>
    <row r="6" spans="1:13" s="20" customFormat="1" x14ac:dyDescent="0.25">
      <c r="A6" s="255" t="s">
        <v>199</v>
      </c>
      <c r="E6" s="197"/>
      <c r="G6" s="22"/>
      <c r="H6" s="22"/>
      <c r="J6" s="22" t="s">
        <v>28</v>
      </c>
    </row>
    <row r="7" spans="1:13" s="20" customFormat="1" x14ac:dyDescent="0.25">
      <c r="A7" s="20" t="s">
        <v>281</v>
      </c>
      <c r="E7" s="197"/>
      <c r="H7" s="20" t="s">
        <v>30</v>
      </c>
      <c r="J7" s="178">
        <v>234000</v>
      </c>
      <c r="K7" s="20" t="s">
        <v>22</v>
      </c>
    </row>
    <row r="8" spans="1:13" s="20" customFormat="1" x14ac:dyDescent="0.25">
      <c r="B8" s="385" t="s">
        <v>233</v>
      </c>
      <c r="C8" s="385"/>
      <c r="D8" s="385"/>
      <c r="E8" s="385"/>
      <c r="F8" s="385"/>
      <c r="G8" s="385"/>
      <c r="H8" s="385"/>
      <c r="I8" s="385"/>
      <c r="J8" s="385"/>
      <c r="K8" s="385"/>
      <c r="L8" s="295" t="s">
        <v>6</v>
      </c>
    </row>
    <row r="9" spans="1:13" s="20" customFormat="1" ht="45" x14ac:dyDescent="0.25">
      <c r="A9" s="183" t="s">
        <v>0</v>
      </c>
      <c r="B9" s="9" t="s">
        <v>1</v>
      </c>
      <c r="C9" s="9" t="s">
        <v>2</v>
      </c>
      <c r="D9" s="411" t="s">
        <v>3</v>
      </c>
      <c r="E9" s="324" t="s">
        <v>4</v>
      </c>
      <c r="F9" s="9" t="s">
        <v>5</v>
      </c>
      <c r="G9" s="9" t="s">
        <v>16</v>
      </c>
      <c r="H9" s="9" t="s">
        <v>17</v>
      </c>
      <c r="I9" s="9" t="s">
        <v>18</v>
      </c>
      <c r="J9" s="9" t="s">
        <v>253</v>
      </c>
      <c r="K9" s="9" t="s">
        <v>254</v>
      </c>
      <c r="L9" s="296"/>
      <c r="M9" s="282" t="s">
        <v>218</v>
      </c>
    </row>
    <row r="10" spans="1:13" s="20" customFormat="1" x14ac:dyDescent="0.25">
      <c r="A10" s="184" t="s">
        <v>32</v>
      </c>
      <c r="B10" s="207">
        <v>0.73</v>
      </c>
      <c r="C10" s="207">
        <f>B10*1.3</f>
        <v>0.94899999999999995</v>
      </c>
      <c r="D10" s="412">
        <f>C10*1.3</f>
        <v>1.2337</v>
      </c>
      <c r="E10" s="325">
        <f>D10*1.3</f>
        <v>1.6038100000000002</v>
      </c>
      <c r="F10" s="185">
        <f>E10*1.3</f>
        <v>2.0849530000000005</v>
      </c>
      <c r="G10" s="330">
        <f>F10*1.4</f>
        <v>2.9189342000000007</v>
      </c>
      <c r="H10" s="330">
        <f>G10*1.4</f>
        <v>4.086507880000001</v>
      </c>
      <c r="I10" s="330">
        <f>H10*1.4</f>
        <v>5.7211110320000014</v>
      </c>
      <c r="J10" s="185">
        <f>I10*1.45</f>
        <v>8.2956109964000024</v>
      </c>
      <c r="K10" s="185">
        <f>J10*1.45</f>
        <v>12.028635944780003</v>
      </c>
      <c r="L10" s="6"/>
      <c r="M10" s="186"/>
    </row>
    <row r="11" spans="1:13" s="20" customFormat="1" x14ac:dyDescent="0.25">
      <c r="A11" s="187" t="s">
        <v>201</v>
      </c>
      <c r="B11" s="187"/>
      <c r="C11" s="187"/>
      <c r="D11" s="413"/>
      <c r="E11" s="326"/>
      <c r="F11" s="188"/>
      <c r="G11" s="188"/>
      <c r="H11" s="188"/>
      <c r="I11" s="188"/>
      <c r="J11" s="188"/>
      <c r="K11" s="188"/>
      <c r="L11" s="189"/>
      <c r="M11" s="190"/>
    </row>
    <row r="12" spans="1:13" x14ac:dyDescent="0.25">
      <c r="A12" s="191" t="s">
        <v>7</v>
      </c>
      <c r="B12" s="192">
        <f t="shared" ref="B12:I12" si="0">ROUNDDOWN(B14*$L$12,-3)</f>
        <v>44000</v>
      </c>
      <c r="C12" s="192">
        <f t="shared" si="0"/>
        <v>57000</v>
      </c>
      <c r="D12" s="414">
        <f t="shared" si="0"/>
        <v>74000</v>
      </c>
      <c r="E12" s="327">
        <f t="shared" si="0"/>
        <v>97000</v>
      </c>
      <c r="F12" s="192">
        <f t="shared" si="0"/>
        <v>126000</v>
      </c>
      <c r="G12" s="192">
        <f t="shared" si="0"/>
        <v>177000</v>
      </c>
      <c r="H12" s="192">
        <f t="shared" si="0"/>
        <v>248000</v>
      </c>
      <c r="I12" s="192">
        <f t="shared" si="0"/>
        <v>347000</v>
      </c>
      <c r="J12" s="192">
        <f t="shared" ref="J12:K12" si="1">ROUNDDOWN(J14*$L$12,-3)</f>
        <v>504000</v>
      </c>
      <c r="K12" s="192">
        <f t="shared" si="1"/>
        <v>731000</v>
      </c>
      <c r="L12" s="369">
        <v>0.26</v>
      </c>
      <c r="M12" s="283">
        <f>B12/B21</f>
        <v>0.10352941176470588</v>
      </c>
    </row>
    <row r="13" spans="1:13" x14ac:dyDescent="0.25">
      <c r="A13" s="191" t="s">
        <v>8</v>
      </c>
      <c r="B13" s="192">
        <f t="shared" ref="B13:I13" si="2">ROUNDDOWN(B14*$L$13,-3)</f>
        <v>34000</v>
      </c>
      <c r="C13" s="192">
        <f t="shared" si="2"/>
        <v>44000</v>
      </c>
      <c r="D13" s="414">
        <f t="shared" si="2"/>
        <v>57000</v>
      </c>
      <c r="E13" s="327">
        <f t="shared" si="2"/>
        <v>75000</v>
      </c>
      <c r="F13" s="192">
        <f t="shared" si="2"/>
        <v>97000</v>
      </c>
      <c r="G13" s="192">
        <f t="shared" si="2"/>
        <v>136000</v>
      </c>
      <c r="H13" s="192">
        <f t="shared" si="2"/>
        <v>191000</v>
      </c>
      <c r="I13" s="192">
        <f t="shared" si="2"/>
        <v>267000</v>
      </c>
      <c r="J13" s="192">
        <f t="shared" ref="J13:K13" si="3">ROUNDDOWN(J14*$L$13,-3)</f>
        <v>388000</v>
      </c>
      <c r="K13" s="192">
        <f t="shared" si="3"/>
        <v>562000</v>
      </c>
      <c r="L13" s="369">
        <v>0.2</v>
      </c>
      <c r="M13" s="283">
        <f>B13/B21</f>
        <v>0.08</v>
      </c>
    </row>
    <row r="14" spans="1:13" s="46" customFormat="1" x14ac:dyDescent="0.25">
      <c r="A14" s="194" t="s">
        <v>19</v>
      </c>
      <c r="B14" s="195">
        <f>ROUNDDOWN(B10*$J$7,-3)</f>
        <v>170000</v>
      </c>
      <c r="C14" s="195">
        <f t="shared" ref="B14:I14" si="4">ROUNDDOWN(C10*$J$7,-3)</f>
        <v>222000</v>
      </c>
      <c r="D14" s="195">
        <f t="shared" si="4"/>
        <v>288000</v>
      </c>
      <c r="E14" s="328">
        <f>ROUNDDOWN(E10*$J$7,-3)</f>
        <v>375000</v>
      </c>
      <c r="F14" s="195">
        <f t="shared" si="4"/>
        <v>487000</v>
      </c>
      <c r="G14" s="195">
        <f t="shared" si="4"/>
        <v>683000</v>
      </c>
      <c r="H14" s="195">
        <f t="shared" si="4"/>
        <v>956000</v>
      </c>
      <c r="I14" s="195">
        <f t="shared" si="4"/>
        <v>1338000</v>
      </c>
      <c r="J14" s="195">
        <f t="shared" ref="J14:K14" si="5">ROUNDDOWN(J10*$J$7,-3)</f>
        <v>1941000</v>
      </c>
      <c r="K14" s="195">
        <f t="shared" si="5"/>
        <v>2814000</v>
      </c>
      <c r="L14" s="196" t="s">
        <v>9</v>
      </c>
      <c r="M14" s="281">
        <f>B14/B21</f>
        <v>0.4</v>
      </c>
    </row>
    <row r="15" spans="1:13" x14ac:dyDescent="0.25">
      <c r="A15" s="198" t="s">
        <v>10</v>
      </c>
      <c r="B15" s="192">
        <f t="shared" ref="B15:I15" si="6">ROUNDDOWN(B14*$L$15,-3)</f>
        <v>17000</v>
      </c>
      <c r="C15" s="192">
        <f t="shared" si="6"/>
        <v>22000</v>
      </c>
      <c r="D15" s="414">
        <f t="shared" si="6"/>
        <v>28000</v>
      </c>
      <c r="E15" s="327">
        <f t="shared" si="6"/>
        <v>37000</v>
      </c>
      <c r="F15" s="192">
        <f t="shared" si="6"/>
        <v>48000</v>
      </c>
      <c r="G15" s="192">
        <f t="shared" si="6"/>
        <v>68000</v>
      </c>
      <c r="H15" s="192">
        <f t="shared" si="6"/>
        <v>95000</v>
      </c>
      <c r="I15" s="192">
        <f t="shared" si="6"/>
        <v>133000</v>
      </c>
      <c r="J15" s="192">
        <f t="shared" ref="J15:K15" si="7">ROUNDDOWN(J14*$L$15,-3)</f>
        <v>194000</v>
      </c>
      <c r="K15" s="192">
        <f t="shared" si="7"/>
        <v>281000</v>
      </c>
      <c r="L15" s="193">
        <v>0.1</v>
      </c>
      <c r="M15" s="283">
        <f>B15/B21</f>
        <v>0.04</v>
      </c>
    </row>
    <row r="16" spans="1:13" x14ac:dyDescent="0.25">
      <c r="A16" s="198" t="s">
        <v>223</v>
      </c>
      <c r="B16" s="192"/>
      <c r="C16" s="192"/>
      <c r="D16" s="414"/>
      <c r="E16" s="327"/>
      <c r="F16" s="192"/>
      <c r="G16" s="192"/>
      <c r="H16" s="192"/>
      <c r="I16" s="192"/>
      <c r="J16" s="192"/>
      <c r="K16" s="192"/>
      <c r="L16" s="193">
        <v>0.7</v>
      </c>
      <c r="M16" s="283"/>
    </row>
    <row r="17" spans="1:14" x14ac:dyDescent="0.25">
      <c r="A17" s="209" t="s">
        <v>13</v>
      </c>
      <c r="B17" s="331">
        <f>ROUNDDOWN(B14*$L$17,-3)</f>
        <v>33000</v>
      </c>
      <c r="C17" s="331">
        <f t="shared" ref="C17:I17" si="8">ROUNDDOWN(C14*$L$17,-3)</f>
        <v>43000</v>
      </c>
      <c r="D17" s="415">
        <f t="shared" si="8"/>
        <v>56000</v>
      </c>
      <c r="E17" s="332">
        <f t="shared" si="8"/>
        <v>73000</v>
      </c>
      <c r="F17" s="331">
        <f t="shared" si="8"/>
        <v>94000</v>
      </c>
      <c r="G17" s="331">
        <f t="shared" si="8"/>
        <v>133000</v>
      </c>
      <c r="H17" s="331">
        <f t="shared" si="8"/>
        <v>186000</v>
      </c>
      <c r="I17" s="331">
        <f t="shared" si="8"/>
        <v>260000</v>
      </c>
      <c r="J17" s="331">
        <f t="shared" ref="J17:K17" si="9">ROUNDDOWN(J14*$L$17,-3)</f>
        <v>378000</v>
      </c>
      <c r="K17" s="331">
        <f t="shared" si="9"/>
        <v>548000</v>
      </c>
      <c r="L17" s="370">
        <v>0.19500000000000001</v>
      </c>
      <c r="M17" s="284">
        <f>B17/B21</f>
        <v>7.7647058823529416E-2</v>
      </c>
      <c r="N17" s="18" t="s">
        <v>258</v>
      </c>
    </row>
    <row r="18" spans="1:14" x14ac:dyDescent="0.25">
      <c r="A18" s="208" t="s">
        <v>25</v>
      </c>
      <c r="B18" s="192">
        <f t="shared" ref="B18:I18" si="10">ROUNDDOWN(B14*$L$18,-3)</f>
        <v>85000</v>
      </c>
      <c r="C18" s="192">
        <f t="shared" si="10"/>
        <v>111000</v>
      </c>
      <c r="D18" s="414">
        <f t="shared" si="10"/>
        <v>144000</v>
      </c>
      <c r="E18" s="327">
        <f t="shared" si="10"/>
        <v>187000</v>
      </c>
      <c r="F18" s="192">
        <f t="shared" si="10"/>
        <v>243000</v>
      </c>
      <c r="G18" s="192">
        <f t="shared" si="10"/>
        <v>341000</v>
      </c>
      <c r="H18" s="192">
        <f t="shared" si="10"/>
        <v>478000</v>
      </c>
      <c r="I18" s="192">
        <f t="shared" si="10"/>
        <v>669000</v>
      </c>
      <c r="J18" s="192">
        <f t="shared" ref="J18:K18" si="11">ROUNDDOWN(J14*$L$18,-3)</f>
        <v>970000</v>
      </c>
      <c r="K18" s="192">
        <f t="shared" si="11"/>
        <v>1407000</v>
      </c>
      <c r="L18" s="193">
        <v>0.5</v>
      </c>
      <c r="M18" s="283">
        <f>B18/B21</f>
        <v>0.2</v>
      </c>
    </row>
    <row r="19" spans="1:14" x14ac:dyDescent="0.25">
      <c r="A19" s="208" t="s">
        <v>26</v>
      </c>
      <c r="B19" s="192">
        <f t="shared" ref="B19:I19" si="12">ROUNDDOWN(B14*$L$19,-3)</f>
        <v>8000</v>
      </c>
      <c r="C19" s="192">
        <f t="shared" si="12"/>
        <v>11000</v>
      </c>
      <c r="D19" s="414">
        <f t="shared" si="12"/>
        <v>14000</v>
      </c>
      <c r="E19" s="327">
        <f t="shared" si="12"/>
        <v>18000</v>
      </c>
      <c r="F19" s="192">
        <f t="shared" si="12"/>
        <v>24000</v>
      </c>
      <c r="G19" s="192">
        <f t="shared" si="12"/>
        <v>34000</v>
      </c>
      <c r="H19" s="192">
        <f t="shared" si="12"/>
        <v>47000</v>
      </c>
      <c r="I19" s="192">
        <f t="shared" si="12"/>
        <v>66000</v>
      </c>
      <c r="J19" s="192">
        <f t="shared" ref="J19:K19" si="13">ROUNDDOWN(J14*$L$19,-3)</f>
        <v>97000</v>
      </c>
      <c r="K19" s="192">
        <f t="shared" si="13"/>
        <v>140000</v>
      </c>
      <c r="L19" s="193">
        <v>0.05</v>
      </c>
      <c r="M19" s="283">
        <f>B19/B21</f>
        <v>1.8823529411764704E-2</v>
      </c>
    </row>
    <row r="20" spans="1:14" x14ac:dyDescent="0.25">
      <c r="A20" s="208" t="s">
        <v>11</v>
      </c>
      <c r="B20" s="192">
        <f t="shared" ref="B20:I20" si="14">ROUNDDOWN(B14*$L$20,-3)</f>
        <v>34000</v>
      </c>
      <c r="C20" s="192">
        <f t="shared" si="14"/>
        <v>44000</v>
      </c>
      <c r="D20" s="414">
        <f t="shared" si="14"/>
        <v>57000</v>
      </c>
      <c r="E20" s="327">
        <f t="shared" si="14"/>
        <v>75000</v>
      </c>
      <c r="F20" s="192">
        <f t="shared" si="14"/>
        <v>97000</v>
      </c>
      <c r="G20" s="192">
        <f t="shared" si="14"/>
        <v>136000</v>
      </c>
      <c r="H20" s="192">
        <f t="shared" si="14"/>
        <v>191000</v>
      </c>
      <c r="I20" s="192">
        <f t="shared" si="14"/>
        <v>267000</v>
      </c>
      <c r="J20" s="192">
        <f t="shared" ref="J20:K20" si="15">ROUNDDOWN(J14*$L$20,-3)</f>
        <v>388000</v>
      </c>
      <c r="K20" s="192">
        <f t="shared" si="15"/>
        <v>562000</v>
      </c>
      <c r="L20" s="369">
        <v>0.2</v>
      </c>
      <c r="M20" s="283">
        <f>B20/B21</f>
        <v>0.08</v>
      </c>
    </row>
    <row r="21" spans="1:14" s="20" customFormat="1" ht="21" customHeight="1" x14ac:dyDescent="0.25">
      <c r="A21" s="199" t="s">
        <v>92</v>
      </c>
      <c r="B21" s="200">
        <f t="shared" ref="B21:I21" si="16">SUM(B12:B20)</f>
        <v>425000</v>
      </c>
      <c r="C21" s="200">
        <f t="shared" si="16"/>
        <v>554000</v>
      </c>
      <c r="D21" s="416">
        <f t="shared" si="16"/>
        <v>718000</v>
      </c>
      <c r="E21" s="329">
        <f t="shared" si="16"/>
        <v>937000</v>
      </c>
      <c r="F21" s="200">
        <f t="shared" si="16"/>
        <v>1216000</v>
      </c>
      <c r="G21" s="200">
        <f t="shared" si="16"/>
        <v>1708000</v>
      </c>
      <c r="H21" s="200">
        <f t="shared" si="16"/>
        <v>2392000</v>
      </c>
      <c r="I21" s="200">
        <f t="shared" si="16"/>
        <v>3347000</v>
      </c>
      <c r="J21" s="200">
        <f t="shared" ref="J21:K21" si="17">SUM(J12:J20)</f>
        <v>4860000</v>
      </c>
      <c r="K21" s="200">
        <f t="shared" si="17"/>
        <v>7045000</v>
      </c>
      <c r="L21" s="175"/>
      <c r="M21" s="280">
        <f>SUM(M12:M20)</f>
        <v>0.99999999999999989</v>
      </c>
    </row>
    <row r="22" spans="1:14" s="20" customFormat="1" x14ac:dyDescent="0.25">
      <c r="A22" s="334" t="s">
        <v>259</v>
      </c>
      <c r="B22" s="335">
        <v>2671000</v>
      </c>
      <c r="C22" s="202"/>
      <c r="D22" s="202"/>
      <c r="E22" s="203"/>
      <c r="F22" s="203"/>
      <c r="G22" s="203"/>
      <c r="H22" s="203"/>
      <c r="I22" s="203"/>
      <c r="J22" s="201"/>
      <c r="K22" s="201"/>
      <c r="L22" s="204"/>
    </row>
    <row r="23" spans="1:14" s="20" customFormat="1" x14ac:dyDescent="0.25">
      <c r="A23" s="333" t="s">
        <v>282</v>
      </c>
      <c r="B23" s="336"/>
      <c r="C23" s="202"/>
      <c r="D23" s="202"/>
      <c r="E23" s="202"/>
      <c r="F23" s="201"/>
      <c r="G23" s="201"/>
      <c r="H23" s="201"/>
      <c r="I23" s="201"/>
      <c r="J23" s="201"/>
      <c r="K23" s="201"/>
      <c r="L23" s="204"/>
    </row>
    <row r="24" spans="1:14" s="20" customFormat="1" x14ac:dyDescent="0.25">
      <c r="A24" s="205" t="s">
        <v>93</v>
      </c>
      <c r="B24" s="205"/>
      <c r="C24" s="205"/>
      <c r="D24" s="205"/>
      <c r="E24" s="202"/>
    </row>
    <row r="25" spans="1:14" x14ac:dyDescent="0.25">
      <c r="A25" s="206" t="s">
        <v>224</v>
      </c>
      <c r="B25" s="206"/>
      <c r="C25" s="206"/>
      <c r="D25" s="206"/>
      <c r="E25" s="202"/>
    </row>
    <row r="26" spans="1:14" x14ac:dyDescent="0.25">
      <c r="A26" s="206" t="s">
        <v>29</v>
      </c>
      <c r="B26" s="206"/>
      <c r="C26" s="206"/>
      <c r="D26" s="206"/>
      <c r="E26" s="202"/>
    </row>
    <row r="27" spans="1:14" x14ac:dyDescent="0.25">
      <c r="A27" s="206"/>
      <c r="B27" s="206"/>
      <c r="C27" s="206"/>
      <c r="D27" s="206"/>
      <c r="E27" s="202"/>
    </row>
    <row r="28" spans="1:14" x14ac:dyDescent="0.25">
      <c r="E28" s="202"/>
    </row>
  </sheetData>
  <mergeCells count="1">
    <mergeCell ref="B8:K8"/>
  </mergeCells>
  <pageMargins left="0.49" right="0.16" top="0.74803149606299213" bottom="0.74803149606299213" header="0.31496062992125984" footer="0.31496062992125984"/>
  <pageSetup paperSize="9" scale="78"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P30"/>
  <sheetViews>
    <sheetView topLeftCell="A8" zoomScale="142" zoomScaleNormal="142" workbookViewId="0">
      <selection activeCell="A11" sqref="A11"/>
    </sheetView>
  </sheetViews>
  <sheetFormatPr defaultColWidth="8.85546875" defaultRowHeight="15" x14ac:dyDescent="0.25"/>
  <cols>
    <col min="1" max="1" width="26.42578125" customWidth="1"/>
    <col min="2" max="2" width="11.42578125" bestFit="1" customWidth="1"/>
    <col min="3" max="3" width="10.42578125" bestFit="1" customWidth="1"/>
    <col min="8" max="8" width="10" customWidth="1"/>
    <col min="9" max="9" width="10.42578125" customWidth="1"/>
    <col min="10" max="11" width="10.85546875" customWidth="1"/>
    <col min="12" max="12" width="10.42578125" customWidth="1"/>
    <col min="13" max="13" width="9.85546875" style="115" bestFit="1" customWidth="1"/>
    <col min="14" max="14" width="11.42578125" bestFit="1" customWidth="1"/>
    <col min="15" max="15" width="12.140625" style="210" customWidth="1"/>
  </cols>
  <sheetData>
    <row r="1" spans="1:15" ht="16.5" x14ac:dyDescent="0.25">
      <c r="A1" s="20"/>
      <c r="B1" s="20"/>
      <c r="C1" s="20" t="s">
        <v>101</v>
      </c>
      <c r="D1" s="20"/>
      <c r="E1" s="174"/>
      <c r="F1" s="20"/>
      <c r="G1" s="20"/>
      <c r="H1" s="20"/>
      <c r="J1" s="20"/>
      <c r="K1" s="20"/>
      <c r="L1" s="20"/>
      <c r="M1" s="20"/>
      <c r="N1" s="20"/>
    </row>
    <row r="2" spans="1:15" ht="16.5" x14ac:dyDescent="0.25">
      <c r="A2" s="20"/>
      <c r="B2" s="220" t="s">
        <v>102</v>
      </c>
      <c r="C2" s="20"/>
      <c r="D2" s="20"/>
      <c r="E2" s="174"/>
      <c r="F2" s="174"/>
      <c r="G2" s="20"/>
      <c r="H2" s="20"/>
      <c r="I2" s="20"/>
      <c r="J2" s="20"/>
      <c r="K2" s="20"/>
      <c r="L2" s="20"/>
      <c r="M2" s="20"/>
      <c r="N2" s="20"/>
    </row>
    <row r="3" spans="1:15" ht="16.5" x14ac:dyDescent="0.25">
      <c r="A3" s="2" t="s">
        <v>94</v>
      </c>
      <c r="B3" s="125"/>
      <c r="C3" s="125"/>
      <c r="D3" s="126"/>
      <c r="E3" s="126"/>
      <c r="F3" s="126"/>
      <c r="G3" s="126"/>
      <c r="H3" s="126"/>
      <c r="I3" s="126"/>
      <c r="J3" s="126"/>
      <c r="K3" s="126"/>
      <c r="L3" s="126"/>
    </row>
    <row r="4" spans="1:15" ht="15.75" x14ac:dyDescent="0.25">
      <c r="A4" s="123" t="s">
        <v>96</v>
      </c>
      <c r="B4" s="127"/>
      <c r="C4" s="127"/>
      <c r="D4" s="127"/>
      <c r="E4" s="127"/>
      <c r="F4" s="127"/>
      <c r="G4" s="127"/>
      <c r="H4" s="127"/>
      <c r="I4" s="127"/>
      <c r="J4" s="128"/>
      <c r="K4" s="128"/>
      <c r="L4" s="127"/>
    </row>
    <row r="5" spans="1:15" x14ac:dyDescent="0.25">
      <c r="B5" s="129"/>
      <c r="C5" s="129"/>
      <c r="D5" s="129"/>
      <c r="E5" s="129"/>
      <c r="F5" s="129"/>
      <c r="G5" s="129"/>
      <c r="H5" s="129"/>
      <c r="I5" s="130"/>
      <c r="J5" s="129" t="s">
        <v>30</v>
      </c>
      <c r="K5" s="129"/>
      <c r="L5" s="143">
        <v>234000</v>
      </c>
      <c r="M5" s="1" t="s">
        <v>22</v>
      </c>
    </row>
    <row r="6" spans="1:15" x14ac:dyDescent="0.25">
      <c r="A6" s="130"/>
      <c r="B6" s="130"/>
      <c r="C6" s="130"/>
      <c r="D6" s="130"/>
      <c r="E6" s="130"/>
      <c r="F6" s="130"/>
      <c r="G6" s="130"/>
      <c r="H6" s="130"/>
      <c r="I6" s="130"/>
      <c r="J6" s="130"/>
      <c r="K6" s="130"/>
      <c r="L6" s="130"/>
      <c r="M6" s="130"/>
    </row>
    <row r="7" spans="1:15" x14ac:dyDescent="0.25">
      <c r="A7" s="386" t="s">
        <v>61</v>
      </c>
      <c r="B7" s="132" t="s">
        <v>1</v>
      </c>
      <c r="C7" s="132" t="s">
        <v>2</v>
      </c>
      <c r="D7" s="132" t="s">
        <v>3</v>
      </c>
      <c r="E7" s="287" t="s">
        <v>4</v>
      </c>
      <c r="F7" s="132" t="s">
        <v>5</v>
      </c>
      <c r="G7" s="286" t="s">
        <v>16</v>
      </c>
      <c r="H7" s="286" t="s">
        <v>17</v>
      </c>
      <c r="I7" s="286" t="s">
        <v>18</v>
      </c>
      <c r="J7" s="286" t="s">
        <v>253</v>
      </c>
      <c r="K7" s="287" t="s">
        <v>254</v>
      </c>
      <c r="L7" s="287"/>
      <c r="M7" s="388" t="s">
        <v>6</v>
      </c>
    </row>
    <row r="8" spans="1:15" x14ac:dyDescent="0.25">
      <c r="A8" s="387"/>
      <c r="B8" s="138">
        <f>0.1-(0.1*5%)</f>
        <v>9.5000000000000001E-2</v>
      </c>
      <c r="C8" s="138">
        <f>B8*1.3</f>
        <v>0.12350000000000001</v>
      </c>
      <c r="D8" s="138">
        <f>C8*1.3</f>
        <v>0.16055000000000003</v>
      </c>
      <c r="E8" s="288">
        <f>D8*1.3</f>
        <v>0.20871500000000004</v>
      </c>
      <c r="F8" s="138">
        <f>E8*1.3</f>
        <v>0.27132950000000006</v>
      </c>
      <c r="G8" s="288">
        <f>F8*1.4</f>
        <v>0.37986130000000007</v>
      </c>
      <c r="H8" s="138">
        <f>G8*1.4</f>
        <v>0.5318058200000001</v>
      </c>
      <c r="I8" s="288">
        <f>H8*4</f>
        <v>2.1272232800000004</v>
      </c>
      <c r="J8" s="288">
        <f>I8*1.4</f>
        <v>2.9781125920000004</v>
      </c>
      <c r="K8" s="288">
        <f>J8*1.5</f>
        <v>4.4671688880000007</v>
      </c>
      <c r="L8" s="288"/>
      <c r="M8" s="389"/>
    </row>
    <row r="9" spans="1:15" ht="28.5" x14ac:dyDescent="0.25">
      <c r="A9" s="133" t="s">
        <v>225</v>
      </c>
      <c r="B9" s="134"/>
      <c r="C9" s="134"/>
      <c r="D9" s="134"/>
      <c r="E9" s="289"/>
      <c r="F9" s="134"/>
      <c r="G9" s="289"/>
      <c r="H9" s="134"/>
      <c r="I9" s="289"/>
      <c r="J9" s="289"/>
      <c r="K9" s="289"/>
      <c r="L9" s="289"/>
      <c r="M9" s="144"/>
    </row>
    <row r="10" spans="1:15" ht="19.5" customHeight="1" x14ac:dyDescent="0.25">
      <c r="A10" s="140" t="s">
        <v>226</v>
      </c>
      <c r="B10" s="141">
        <f t="shared" ref="B10:I10" si="0">ROUNDDOWN(B8*$L$5,-3)</f>
        <v>22000</v>
      </c>
      <c r="C10" s="141">
        <f t="shared" si="0"/>
        <v>28000</v>
      </c>
      <c r="D10" s="141">
        <f t="shared" si="0"/>
        <v>37000</v>
      </c>
      <c r="E10" s="290">
        <f t="shared" si="0"/>
        <v>48000</v>
      </c>
      <c r="F10" s="141">
        <f t="shared" si="0"/>
        <v>63000</v>
      </c>
      <c r="G10" s="290">
        <f t="shared" si="0"/>
        <v>88000</v>
      </c>
      <c r="H10" s="141">
        <f t="shared" si="0"/>
        <v>124000</v>
      </c>
      <c r="I10" s="290">
        <f t="shared" si="0"/>
        <v>497000</v>
      </c>
      <c r="J10" s="290">
        <f t="shared" ref="J10" si="1">ROUNDDOWN(J8*$L$5,-3)</f>
        <v>696000</v>
      </c>
      <c r="K10" s="290">
        <f>ROUNDDOWN(K8*$L$5,-3)</f>
        <v>1045000</v>
      </c>
      <c r="L10" s="290"/>
      <c r="M10" s="145">
        <v>1</v>
      </c>
    </row>
    <row r="11" spans="1:15" ht="28.5" customHeight="1" x14ac:dyDescent="0.25">
      <c r="A11" s="417" t="s">
        <v>256</v>
      </c>
      <c r="B11" s="141">
        <f>B10+B10*20%</f>
        <v>26400</v>
      </c>
      <c r="C11" s="141">
        <f t="shared" ref="C11:K11" si="2">C10+C10*20%</f>
        <v>33600</v>
      </c>
      <c r="D11" s="141">
        <f t="shared" si="2"/>
        <v>44400</v>
      </c>
      <c r="E11" s="141">
        <f t="shared" si="2"/>
        <v>57600</v>
      </c>
      <c r="F11" s="141">
        <f t="shared" si="2"/>
        <v>75600</v>
      </c>
      <c r="G11" s="141">
        <f t="shared" si="2"/>
        <v>105600</v>
      </c>
      <c r="H11" s="141">
        <f t="shared" si="2"/>
        <v>148800</v>
      </c>
      <c r="I11" s="141">
        <f t="shared" si="2"/>
        <v>596400</v>
      </c>
      <c r="J11" s="141">
        <f t="shared" si="2"/>
        <v>835200</v>
      </c>
      <c r="K11" s="141">
        <f t="shared" si="2"/>
        <v>1254000</v>
      </c>
      <c r="L11" s="141"/>
      <c r="M11" s="285" t="s">
        <v>257</v>
      </c>
    </row>
    <row r="12" spans="1:15" ht="18" customHeight="1" x14ac:dyDescent="0.25">
      <c r="A12" s="322" t="s">
        <v>285</v>
      </c>
      <c r="B12" s="137"/>
      <c r="C12" s="137"/>
      <c r="D12" s="137"/>
      <c r="E12" s="137"/>
      <c r="F12" s="137"/>
      <c r="G12" s="137"/>
      <c r="H12" s="137"/>
      <c r="I12" s="137"/>
      <c r="J12" s="137"/>
      <c r="K12" s="137"/>
      <c r="L12" s="137"/>
    </row>
    <row r="13" spans="1:15" x14ac:dyDescent="0.25">
      <c r="A13" s="136"/>
      <c r="B13" s="137"/>
      <c r="C13" s="137"/>
      <c r="D13" s="137"/>
      <c r="E13" s="137"/>
      <c r="F13" s="137"/>
      <c r="G13" s="137"/>
      <c r="H13" s="137"/>
      <c r="I13" s="137"/>
      <c r="J13" s="137"/>
      <c r="K13" s="137"/>
      <c r="L13" s="137"/>
    </row>
    <row r="14" spans="1:15" ht="15.75" x14ac:dyDescent="0.25">
      <c r="A14" s="124" t="s">
        <v>95</v>
      </c>
      <c r="B14" s="123"/>
      <c r="C14" s="126"/>
      <c r="D14" s="123"/>
      <c r="E14" s="123"/>
      <c r="F14" s="123"/>
      <c r="G14" s="123"/>
      <c r="H14" s="123"/>
      <c r="I14" s="123"/>
      <c r="J14" s="131"/>
      <c r="K14" s="131"/>
      <c r="L14" s="130"/>
      <c r="O14" s="210">
        <f>(2340000*8)/22*0.2</f>
        <v>170181.81818181821</v>
      </c>
    </row>
    <row r="15" spans="1:15" ht="15.75" x14ac:dyDescent="0.25">
      <c r="A15" s="124" t="s">
        <v>97</v>
      </c>
      <c r="B15" s="123"/>
      <c r="C15" s="126"/>
      <c r="D15" s="123"/>
      <c r="E15" s="123"/>
      <c r="F15" s="123"/>
      <c r="G15" s="123"/>
      <c r="H15" s="123"/>
      <c r="I15" s="123"/>
      <c r="J15" s="128"/>
      <c r="K15" s="128"/>
      <c r="L15" s="130"/>
    </row>
    <row r="16" spans="1:15" ht="15.75" x14ac:dyDescent="0.25">
      <c r="A16" s="124"/>
      <c r="B16" s="123"/>
      <c r="C16" s="126"/>
      <c r="D16" s="123"/>
      <c r="E16" s="123"/>
      <c r="F16" s="123"/>
      <c r="G16" s="123"/>
      <c r="H16" s="123"/>
      <c r="I16" s="123"/>
      <c r="J16" s="129" t="s">
        <v>30</v>
      </c>
      <c r="K16" s="129"/>
      <c r="L16" s="143">
        <v>234000</v>
      </c>
      <c r="M16" s="1" t="s">
        <v>22</v>
      </c>
    </row>
    <row r="17" spans="1:16" x14ac:dyDescent="0.25">
      <c r="A17" s="130"/>
      <c r="B17" s="130"/>
      <c r="C17" s="130"/>
      <c r="D17" s="130"/>
      <c r="E17" s="130"/>
      <c r="F17" s="130"/>
      <c r="G17" s="130"/>
      <c r="H17" s="130"/>
      <c r="I17" s="130"/>
      <c r="J17" s="130"/>
      <c r="K17" s="130"/>
      <c r="L17" s="130"/>
      <c r="M17" s="130"/>
    </row>
    <row r="18" spans="1:16" x14ac:dyDescent="0.25">
      <c r="A18" s="386" t="s">
        <v>0</v>
      </c>
      <c r="B18" s="132" t="s">
        <v>1</v>
      </c>
      <c r="C18" s="132" t="s">
        <v>2</v>
      </c>
      <c r="D18" s="132" t="s">
        <v>3</v>
      </c>
      <c r="E18" s="287" t="s">
        <v>4</v>
      </c>
      <c r="F18" s="287" t="s">
        <v>5</v>
      </c>
      <c r="G18" s="286" t="s">
        <v>16</v>
      </c>
      <c r="H18" s="286" t="s">
        <v>17</v>
      </c>
      <c r="I18" s="286" t="s">
        <v>18</v>
      </c>
      <c r="J18" s="286" t="s">
        <v>253</v>
      </c>
      <c r="K18" s="287" t="s">
        <v>254</v>
      </c>
      <c r="L18" s="287"/>
      <c r="M18" s="388" t="s">
        <v>6</v>
      </c>
    </row>
    <row r="19" spans="1:16" x14ac:dyDescent="0.25">
      <c r="A19" s="387"/>
      <c r="B19" s="138">
        <f>0.61-(0.61*5%)</f>
        <v>0.57950000000000002</v>
      </c>
      <c r="C19" s="142">
        <f>B19*1.3</f>
        <v>0.75335000000000008</v>
      </c>
      <c r="D19" s="142">
        <f>C19*1.3</f>
        <v>0.97935500000000009</v>
      </c>
      <c r="E19" s="320">
        <f>D19*1.6</f>
        <v>1.5669680000000001</v>
      </c>
      <c r="F19" s="320">
        <f>E19*1.3</f>
        <v>2.0370584000000003</v>
      </c>
      <c r="G19" s="320">
        <f>F19*1.4</f>
        <v>2.8518817600000004</v>
      </c>
      <c r="H19" s="320">
        <f>G19*1.4</f>
        <v>3.9926344640000004</v>
      </c>
      <c r="I19" s="320">
        <f>H19*4</f>
        <v>15.970537856000002</v>
      </c>
      <c r="J19" s="320">
        <f>I19*1.4</f>
        <v>22.3587529984</v>
      </c>
      <c r="K19" s="320">
        <f>J19*1.45</f>
        <v>32.420191847680002</v>
      </c>
      <c r="L19" s="320"/>
      <c r="M19" s="389"/>
      <c r="O19" s="210" t="s">
        <v>123</v>
      </c>
    </row>
    <row r="20" spans="1:16" ht="30" customHeight="1" x14ac:dyDescent="0.25">
      <c r="A20" s="215" t="s">
        <v>227</v>
      </c>
      <c r="B20" s="139"/>
      <c r="C20" s="139"/>
      <c r="D20" s="139"/>
      <c r="E20" s="321"/>
      <c r="F20" s="321"/>
      <c r="G20" s="321"/>
      <c r="H20" s="321"/>
      <c r="I20" s="321"/>
      <c r="J20" s="321"/>
      <c r="K20" s="321"/>
      <c r="L20" s="321"/>
      <c r="M20" s="146"/>
      <c r="N20" s="230" t="s">
        <v>122</v>
      </c>
      <c r="O20" s="210">
        <v>8940000</v>
      </c>
    </row>
    <row r="21" spans="1:16" ht="20.25" customHeight="1" x14ac:dyDescent="0.25">
      <c r="A21" s="140" t="s">
        <v>228</v>
      </c>
      <c r="B21" s="141">
        <f t="shared" ref="B21:I21" si="3">ROUNDDOWN(B19*$L$16,-3)*50%</f>
        <v>67500</v>
      </c>
      <c r="C21" s="141">
        <f t="shared" si="3"/>
        <v>88000</v>
      </c>
      <c r="D21" s="141">
        <f t="shared" si="3"/>
        <v>114500</v>
      </c>
      <c r="E21" s="290">
        <f t="shared" si="3"/>
        <v>183000</v>
      </c>
      <c r="F21" s="290">
        <f t="shared" si="3"/>
        <v>238000</v>
      </c>
      <c r="G21" s="290">
        <f t="shared" si="3"/>
        <v>333500</v>
      </c>
      <c r="H21" s="290">
        <f t="shared" si="3"/>
        <v>467000</v>
      </c>
      <c r="I21" s="290">
        <f t="shared" si="3"/>
        <v>1868500</v>
      </c>
      <c r="J21" s="290">
        <f t="shared" ref="J21" si="4">ROUNDDOWN(J19*$L$16,-3)*50%</f>
        <v>2615500</v>
      </c>
      <c r="K21" s="290">
        <f>ROUNDDOWN(K19*$L$16,-3)*50%</f>
        <v>3793000</v>
      </c>
      <c r="L21" s="290"/>
      <c r="M21" s="145">
        <v>1</v>
      </c>
      <c r="N21" s="230" t="s">
        <v>121</v>
      </c>
      <c r="O21" s="210">
        <v>4470000</v>
      </c>
      <c r="P21" s="213">
        <f>O21/O20*100%</f>
        <v>0.5</v>
      </c>
    </row>
    <row r="22" spans="1:16" ht="28.5" customHeight="1" x14ac:dyDescent="0.25">
      <c r="A22" s="140" t="s">
        <v>283</v>
      </c>
      <c r="B22" s="141">
        <f>B21+B21*50%</f>
        <v>101250</v>
      </c>
      <c r="C22" s="141">
        <f t="shared" ref="C22:K22" si="5">C21+C21*50%</f>
        <v>132000</v>
      </c>
      <c r="D22" s="141">
        <f t="shared" si="5"/>
        <v>171750</v>
      </c>
      <c r="E22" s="141">
        <f t="shared" si="5"/>
        <v>274500</v>
      </c>
      <c r="F22" s="141">
        <f t="shared" si="5"/>
        <v>357000</v>
      </c>
      <c r="G22" s="141">
        <f t="shared" si="5"/>
        <v>500250</v>
      </c>
      <c r="H22" s="141">
        <f t="shared" si="5"/>
        <v>700500</v>
      </c>
      <c r="I22" s="141">
        <f t="shared" si="5"/>
        <v>2802750</v>
      </c>
      <c r="J22" s="141">
        <f t="shared" si="5"/>
        <v>3923250</v>
      </c>
      <c r="K22" s="141">
        <f t="shared" si="5"/>
        <v>5689500</v>
      </c>
      <c r="L22" s="141"/>
      <c r="M22" s="145" t="s">
        <v>284</v>
      </c>
      <c r="N22" s="230"/>
      <c r="O22" t="s">
        <v>200</v>
      </c>
      <c r="P22" s="213"/>
    </row>
    <row r="23" spans="1:16" ht="18" customHeight="1" x14ac:dyDescent="0.25">
      <c r="A23" s="214"/>
    </row>
    <row r="25" spans="1:16" s="14" customFormat="1" ht="15.75" x14ac:dyDescent="0.25">
      <c r="J25" s="323"/>
      <c r="O25" s="62"/>
    </row>
    <row r="26" spans="1:16" s="149" customFormat="1" ht="15.75" x14ac:dyDescent="0.25">
      <c r="O26" s="211"/>
    </row>
    <row r="27" spans="1:16" s="13" customFormat="1" ht="15.75" x14ac:dyDescent="0.25">
      <c r="O27" s="212"/>
    </row>
    <row r="28" spans="1:16" s="13" customFormat="1" ht="15.75" x14ac:dyDescent="0.25">
      <c r="O28" s="212"/>
    </row>
    <row r="29" spans="1:16" s="13" customFormat="1" ht="15.75" x14ac:dyDescent="0.25">
      <c r="O29" s="212"/>
    </row>
    <row r="30" spans="1:16" s="13" customFormat="1" ht="15.75" x14ac:dyDescent="0.25">
      <c r="O30" s="212"/>
    </row>
  </sheetData>
  <mergeCells count="4">
    <mergeCell ref="A18:A19"/>
    <mergeCell ref="M7:M8"/>
    <mergeCell ref="M18:M19"/>
    <mergeCell ref="A7:A8"/>
  </mergeCells>
  <phoneticPr fontId="36" type="noConversion"/>
  <pageMargins left="0.70866141732283472" right="0.25" top="0.74803149606299213" bottom="0.36" header="0.31496062992125984" footer="0.31496062992125984"/>
  <pageSetup paperSize="9" scale="75"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50"/>
  </sheetPr>
  <dimension ref="A1:N73"/>
  <sheetViews>
    <sheetView topLeftCell="A51" zoomScale="142" zoomScaleNormal="142" workbookViewId="0">
      <selection activeCell="B59" sqref="B59"/>
    </sheetView>
  </sheetViews>
  <sheetFormatPr defaultColWidth="9.140625" defaultRowHeight="16.5" x14ac:dyDescent="0.25"/>
  <cols>
    <col min="1" max="1" width="31.140625" style="18" customWidth="1"/>
    <col min="2" max="2" width="13.85546875" style="18" customWidth="1"/>
    <col min="3" max="4" width="11.42578125" style="18" customWidth="1"/>
    <col min="5" max="5" width="11.42578125" style="18" bestFit="1" customWidth="1"/>
    <col min="6" max="7" width="12.7109375" style="18" customWidth="1"/>
    <col min="8" max="8" width="13.85546875" style="18" customWidth="1"/>
    <col min="9" max="9" width="13.140625" style="18" bestFit="1" customWidth="1"/>
    <col min="10" max="10" width="12.85546875" style="19" customWidth="1"/>
    <col min="11" max="11" width="14.7109375" style="18" customWidth="1"/>
    <col min="12" max="13" width="13.28515625" style="18" customWidth="1"/>
    <col min="14" max="16384" width="9.140625" style="18"/>
  </cols>
  <sheetData>
    <row r="1" spans="1:14" x14ac:dyDescent="0.25">
      <c r="A1" s="340" t="s">
        <v>12</v>
      </c>
    </row>
    <row r="3" spans="1:14" x14ac:dyDescent="0.25">
      <c r="A3" s="20" t="s">
        <v>244</v>
      </c>
    </row>
    <row r="4" spans="1:14" x14ac:dyDescent="0.25">
      <c r="A4" s="18" t="s">
        <v>106</v>
      </c>
      <c r="H4" s="174" t="s">
        <v>23</v>
      </c>
      <c r="I4" s="174"/>
      <c r="J4" s="24">
        <v>234000</v>
      </c>
      <c r="K4" s="18" t="s">
        <v>22</v>
      </c>
    </row>
    <row r="5" spans="1:14" x14ac:dyDescent="0.25">
      <c r="A5" s="18" t="s">
        <v>237</v>
      </c>
      <c r="J5" s="174"/>
      <c r="K5" s="174"/>
      <c r="L5" s="24"/>
    </row>
    <row r="7" spans="1:14" x14ac:dyDescent="0.25">
      <c r="A7" s="390" t="s">
        <v>20</v>
      </c>
      <c r="B7" s="8" t="s">
        <v>1</v>
      </c>
      <c r="C7" s="8" t="s">
        <v>2</v>
      </c>
      <c r="D7" s="8" t="s">
        <v>3</v>
      </c>
      <c r="E7" s="337" t="s">
        <v>4</v>
      </c>
      <c r="F7" s="305" t="s">
        <v>5</v>
      </c>
      <c r="G7" s="305" t="s">
        <v>16</v>
      </c>
      <c r="H7" s="305" t="s">
        <v>17</v>
      </c>
      <c r="I7" s="305" t="s">
        <v>18</v>
      </c>
      <c r="J7" s="337" t="s">
        <v>253</v>
      </c>
      <c r="K7" s="337" t="s">
        <v>254</v>
      </c>
      <c r="L7" s="376" t="s">
        <v>21</v>
      </c>
      <c r="N7" s="262">
        <f>90000/533000</f>
        <v>0.16885553470919323</v>
      </c>
    </row>
    <row r="8" spans="1:14" x14ac:dyDescent="0.25">
      <c r="A8" s="391"/>
      <c r="B8" s="168">
        <v>0.42</v>
      </c>
      <c r="C8" s="168">
        <f>B8*1.3</f>
        <v>0.54600000000000004</v>
      </c>
      <c r="D8" s="168">
        <f>C8*1.3</f>
        <v>0.7098000000000001</v>
      </c>
      <c r="E8" s="338">
        <f>D8*1.3</f>
        <v>0.92274000000000012</v>
      </c>
      <c r="F8" s="168">
        <f>E8*1.4</f>
        <v>1.291836</v>
      </c>
      <c r="G8" s="168">
        <f>F8*1.4</f>
        <v>1.8085703999999998</v>
      </c>
      <c r="H8" s="168">
        <f>G8*1.4</f>
        <v>2.5319985599999995</v>
      </c>
      <c r="I8" s="338">
        <f>H8*1.4</f>
        <v>3.5447979839999988</v>
      </c>
      <c r="J8" s="338">
        <f>I8*1.5</f>
        <v>5.3171969759999982</v>
      </c>
      <c r="K8" s="338">
        <f>J8*1.5</f>
        <v>7.9757954639999973</v>
      </c>
      <c r="L8" s="377"/>
    </row>
    <row r="9" spans="1:14" x14ac:dyDescent="0.25">
      <c r="A9" s="26" t="s">
        <v>8</v>
      </c>
      <c r="B9" s="27">
        <f t="shared" ref="B9:I9" si="0">ROUNDDOWN(B11*$L$9,-3)</f>
        <v>25000</v>
      </c>
      <c r="C9" s="27">
        <f t="shared" si="0"/>
        <v>33000</v>
      </c>
      <c r="D9" s="27">
        <f t="shared" si="0"/>
        <v>43000</v>
      </c>
      <c r="E9" s="231">
        <f t="shared" si="0"/>
        <v>55000</v>
      </c>
      <c r="F9" s="27">
        <f t="shared" si="0"/>
        <v>78000</v>
      </c>
      <c r="G9" s="27">
        <f t="shared" si="0"/>
        <v>109000</v>
      </c>
      <c r="H9" s="27">
        <f t="shared" si="0"/>
        <v>153000</v>
      </c>
      <c r="I9" s="231">
        <f t="shared" si="0"/>
        <v>215000</v>
      </c>
      <c r="J9" s="231">
        <f t="shared" ref="J9:K9" si="1">ROUNDDOWN(J11*$L$9,-3)</f>
        <v>323000</v>
      </c>
      <c r="K9" s="231">
        <f t="shared" si="1"/>
        <v>485000</v>
      </c>
      <c r="L9" s="225">
        <v>0.26</v>
      </c>
    </row>
    <row r="10" spans="1:14" x14ac:dyDescent="0.25">
      <c r="A10" s="26" t="s">
        <v>11</v>
      </c>
      <c r="B10" s="27">
        <f t="shared" ref="B10:I10" si="2">ROUNDDOWN(B11*$L$10,-3)</f>
        <v>19000</v>
      </c>
      <c r="C10" s="27">
        <f t="shared" si="2"/>
        <v>25000</v>
      </c>
      <c r="D10" s="27">
        <f t="shared" si="2"/>
        <v>33000</v>
      </c>
      <c r="E10" s="231">
        <f t="shared" si="2"/>
        <v>43000</v>
      </c>
      <c r="F10" s="27">
        <f t="shared" si="2"/>
        <v>60000</v>
      </c>
      <c r="G10" s="27">
        <f t="shared" si="2"/>
        <v>84000</v>
      </c>
      <c r="H10" s="27">
        <f t="shared" si="2"/>
        <v>118000</v>
      </c>
      <c r="I10" s="231">
        <f t="shared" si="2"/>
        <v>165000</v>
      </c>
      <c r="J10" s="231">
        <f t="shared" ref="J10:K10" si="3">ROUNDDOWN(J11*$L$10,-3)</f>
        <v>248000</v>
      </c>
      <c r="K10" s="231">
        <f t="shared" si="3"/>
        <v>373000</v>
      </c>
      <c r="L10" s="225">
        <v>0.2</v>
      </c>
    </row>
    <row r="11" spans="1:14" x14ac:dyDescent="0.25">
      <c r="A11" s="44" t="s">
        <v>19</v>
      </c>
      <c r="B11" s="167">
        <f>ROUNDDOWN(B8*$J$4,-3)</f>
        <v>98000</v>
      </c>
      <c r="C11" s="167">
        <f>ROUNDDOWN(C8*$J$4,-3)</f>
        <v>127000</v>
      </c>
      <c r="D11" s="167">
        <f t="shared" ref="B11:I11" si="4">ROUNDDOWN(D8*$J$4,-3)</f>
        <v>166000</v>
      </c>
      <c r="E11" s="167">
        <f>ROUNDDOWN(E8*$J$4,-3)</f>
        <v>215000</v>
      </c>
      <c r="F11" s="167">
        <f>ROUNDDOWN(F8*$J$4,-3)</f>
        <v>302000</v>
      </c>
      <c r="G11" s="167">
        <f t="shared" si="4"/>
        <v>423000</v>
      </c>
      <c r="H11" s="167">
        <f t="shared" si="4"/>
        <v>592000</v>
      </c>
      <c r="I11" s="167">
        <f t="shared" si="4"/>
        <v>829000</v>
      </c>
      <c r="J11" s="167">
        <f>ROUNDDOWN(J8*$J$4,-3)</f>
        <v>1244000</v>
      </c>
      <c r="K11" s="167">
        <f>ROUNDDOWN(K8*$J$4,-3)</f>
        <v>1866000</v>
      </c>
      <c r="L11" s="45">
        <v>1</v>
      </c>
      <c r="M11" s="18" t="s">
        <v>241</v>
      </c>
    </row>
    <row r="12" spans="1:14" x14ac:dyDescent="0.25">
      <c r="A12" s="249" t="s">
        <v>196</v>
      </c>
      <c r="B12" s="256">
        <f>ROUNDDOWN(0.18*$J$4,-3)</f>
        <v>42000</v>
      </c>
      <c r="C12" s="256">
        <f t="shared" ref="C12:K12" si="5">ROUNDDOWN(0.18*$J$4,-3)</f>
        <v>42000</v>
      </c>
      <c r="D12" s="256">
        <f t="shared" si="5"/>
        <v>42000</v>
      </c>
      <c r="E12" s="256">
        <f t="shared" si="5"/>
        <v>42000</v>
      </c>
      <c r="F12" s="256">
        <f t="shared" si="5"/>
        <v>42000</v>
      </c>
      <c r="G12" s="256">
        <f t="shared" si="5"/>
        <v>42000</v>
      </c>
      <c r="H12" s="256">
        <f t="shared" si="5"/>
        <v>42000</v>
      </c>
      <c r="I12" s="256">
        <f t="shared" si="5"/>
        <v>42000</v>
      </c>
      <c r="J12" s="256">
        <f t="shared" si="5"/>
        <v>42000</v>
      </c>
      <c r="K12" s="256">
        <f t="shared" si="5"/>
        <v>42000</v>
      </c>
      <c r="L12" s="251" t="s">
        <v>239</v>
      </c>
      <c r="M12" s="18" t="s">
        <v>204</v>
      </c>
    </row>
    <row r="13" spans="1:14" x14ac:dyDescent="0.25">
      <c r="A13" s="302" t="s">
        <v>197</v>
      </c>
      <c r="B13" s="256">
        <f>ROUNDDOWN(0.52*$J$4,-3)</f>
        <v>121000</v>
      </c>
      <c r="C13" s="256">
        <f t="shared" ref="C13:K13" si="6">ROUNDDOWN(0.52*$J$4,-3)</f>
        <v>121000</v>
      </c>
      <c r="D13" s="256">
        <f t="shared" si="6"/>
        <v>121000</v>
      </c>
      <c r="E13" s="256">
        <f t="shared" si="6"/>
        <v>121000</v>
      </c>
      <c r="F13" s="256">
        <f t="shared" si="6"/>
        <v>121000</v>
      </c>
      <c r="G13" s="256">
        <f t="shared" si="6"/>
        <v>121000</v>
      </c>
      <c r="H13" s="256">
        <f t="shared" si="6"/>
        <v>121000</v>
      </c>
      <c r="I13" s="256">
        <f t="shared" si="6"/>
        <v>121000</v>
      </c>
      <c r="J13" s="256">
        <f t="shared" si="6"/>
        <v>121000</v>
      </c>
      <c r="K13" s="256">
        <f t="shared" si="6"/>
        <v>121000</v>
      </c>
      <c r="L13" s="303" t="s">
        <v>240</v>
      </c>
      <c r="M13" s="18" t="s">
        <v>203</v>
      </c>
    </row>
    <row r="14" spans="1:14" x14ac:dyDescent="0.25">
      <c r="A14" s="26" t="s">
        <v>286</v>
      </c>
      <c r="B14" s="27">
        <f t="shared" ref="B14:I14" si="7">ROUNDDOWN(B11*$L$14,-3)</f>
        <v>117000</v>
      </c>
      <c r="C14" s="27">
        <f t="shared" si="7"/>
        <v>152000</v>
      </c>
      <c r="D14" s="27">
        <f t="shared" si="7"/>
        <v>199000</v>
      </c>
      <c r="E14" s="231">
        <f t="shared" si="7"/>
        <v>258000</v>
      </c>
      <c r="F14" s="27">
        <f t="shared" si="7"/>
        <v>362000</v>
      </c>
      <c r="G14" s="27">
        <f t="shared" si="7"/>
        <v>507000</v>
      </c>
      <c r="H14" s="27">
        <f t="shared" si="7"/>
        <v>710000</v>
      </c>
      <c r="I14" s="231">
        <f t="shared" si="7"/>
        <v>994000</v>
      </c>
      <c r="J14" s="231">
        <f t="shared" ref="J14:K14" si="8">ROUNDDOWN(J11*$L$14,-3)</f>
        <v>1492000</v>
      </c>
      <c r="K14" s="231">
        <f t="shared" si="8"/>
        <v>2239000</v>
      </c>
      <c r="L14" s="225">
        <v>1.2</v>
      </c>
      <c r="M14" s="18" t="s">
        <v>242</v>
      </c>
    </row>
    <row r="15" spans="1:14" x14ac:dyDescent="0.25">
      <c r="A15" s="304" t="s">
        <v>195</v>
      </c>
      <c r="B15" s="231"/>
      <c r="C15" s="231"/>
      <c r="D15" s="231"/>
      <c r="E15" s="231"/>
      <c r="F15" s="231"/>
      <c r="G15" s="231"/>
      <c r="H15" s="231"/>
      <c r="I15" s="231"/>
      <c r="J15" s="231"/>
      <c r="K15" s="231"/>
      <c r="L15" s="232"/>
    </row>
    <row r="16" spans="1:14" x14ac:dyDescent="0.25">
      <c r="A16" s="301" t="s">
        <v>238</v>
      </c>
      <c r="B16" s="27"/>
      <c r="C16" s="27"/>
      <c r="D16" s="27"/>
      <c r="E16" s="231"/>
      <c r="F16" s="27"/>
      <c r="G16" s="27"/>
      <c r="H16" s="27"/>
      <c r="I16" s="231"/>
      <c r="J16" s="231"/>
      <c r="K16" s="231"/>
      <c r="L16" s="28"/>
    </row>
    <row r="17" spans="1:13" x14ac:dyDescent="0.25">
      <c r="A17" s="41" t="s">
        <v>24</v>
      </c>
      <c r="B17" s="42">
        <f t="shared" ref="B17:I17" si="9">SUM(B9:B16)</f>
        <v>422000</v>
      </c>
      <c r="C17" s="42">
        <f t="shared" si="9"/>
        <v>500000</v>
      </c>
      <c r="D17" s="42">
        <f t="shared" si="9"/>
        <v>604000</v>
      </c>
      <c r="E17" s="339">
        <f>SUM(E9:E16)</f>
        <v>734000</v>
      </c>
      <c r="F17" s="42">
        <f t="shared" si="9"/>
        <v>965000</v>
      </c>
      <c r="G17" s="42">
        <f t="shared" si="9"/>
        <v>1286000</v>
      </c>
      <c r="H17" s="42">
        <f t="shared" si="9"/>
        <v>1736000</v>
      </c>
      <c r="I17" s="339">
        <f t="shared" si="9"/>
        <v>2366000</v>
      </c>
      <c r="J17" s="339">
        <f t="shared" ref="J17" si="10">SUM(J9:J16)</f>
        <v>3470000</v>
      </c>
      <c r="K17" s="339">
        <f t="shared" ref="K17" si="11">SUM(K9:K16)</f>
        <v>5126000</v>
      </c>
      <c r="L17" s="43"/>
    </row>
    <row r="18" spans="1:13" x14ac:dyDescent="0.25">
      <c r="A18" s="18" t="s">
        <v>236</v>
      </c>
    </row>
    <row r="19" spans="1:13" x14ac:dyDescent="0.25">
      <c r="A19" s="18" t="s">
        <v>52</v>
      </c>
      <c r="B19" s="250"/>
    </row>
    <row r="22" spans="1:13" x14ac:dyDescent="0.25">
      <c r="A22" s="20" t="s">
        <v>260</v>
      </c>
      <c r="H22" s="383" t="s">
        <v>23</v>
      </c>
      <c r="I22" s="383"/>
      <c r="J22" s="24">
        <v>234000</v>
      </c>
      <c r="K22" s="20" t="s">
        <v>22</v>
      </c>
    </row>
    <row r="23" spans="1:13" x14ac:dyDescent="0.25">
      <c r="A23" s="18" t="s">
        <v>262</v>
      </c>
    </row>
    <row r="25" spans="1:13" x14ac:dyDescent="0.25">
      <c r="A25" s="390" t="s">
        <v>20</v>
      </c>
      <c r="B25" s="8" t="s">
        <v>1</v>
      </c>
      <c r="C25" s="8" t="s">
        <v>2</v>
      </c>
      <c r="D25" s="8" t="s">
        <v>3</v>
      </c>
      <c r="E25" s="8" t="s">
        <v>4</v>
      </c>
      <c r="F25" s="8" t="s">
        <v>5</v>
      </c>
      <c r="G25" s="342" t="s">
        <v>16</v>
      </c>
      <c r="H25" s="342" t="s">
        <v>17</v>
      </c>
      <c r="I25" s="342" t="s">
        <v>18</v>
      </c>
      <c r="J25" s="8" t="s">
        <v>253</v>
      </c>
      <c r="K25" s="8" t="s">
        <v>254</v>
      </c>
      <c r="L25" s="376" t="s">
        <v>21</v>
      </c>
    </row>
    <row r="26" spans="1:13" x14ac:dyDescent="0.25">
      <c r="A26" s="391"/>
      <c r="B26" s="168">
        <f>0.15</f>
        <v>0.15</v>
      </c>
      <c r="C26" s="168">
        <f>B26*1.3</f>
        <v>0.19500000000000001</v>
      </c>
      <c r="D26" s="168">
        <f>C26*1.3</f>
        <v>0.2535</v>
      </c>
      <c r="E26" s="168">
        <f>D26*1.3</f>
        <v>0.32955000000000001</v>
      </c>
      <c r="F26" s="168">
        <f>E26*1.3</f>
        <v>0.42841500000000005</v>
      </c>
      <c r="G26" s="168">
        <f>F26*1.4</f>
        <v>0.59978100000000001</v>
      </c>
      <c r="H26" s="168">
        <f t="shared" ref="H26:I26" si="12">G26*1.4</f>
        <v>0.83969339999999992</v>
      </c>
      <c r="I26" s="168">
        <f t="shared" si="12"/>
        <v>1.1755707599999998</v>
      </c>
      <c r="J26" s="168">
        <f>I26*1.5</f>
        <v>1.7633561399999997</v>
      </c>
      <c r="K26" s="168">
        <f>J26*1.5</f>
        <v>2.6450342099999995</v>
      </c>
      <c r="L26" s="377"/>
    </row>
    <row r="27" spans="1:13" x14ac:dyDescent="0.25">
      <c r="A27" s="26" t="s">
        <v>8</v>
      </c>
      <c r="B27" s="27">
        <f t="shared" ref="B27:I27" si="13">ROUNDDOWN(B29*$L$27,-3)</f>
        <v>9000</v>
      </c>
      <c r="C27" s="27">
        <f t="shared" si="13"/>
        <v>11000</v>
      </c>
      <c r="D27" s="27">
        <f t="shared" si="13"/>
        <v>15000</v>
      </c>
      <c r="E27" s="27">
        <f t="shared" si="13"/>
        <v>20000</v>
      </c>
      <c r="F27" s="27">
        <f t="shared" si="13"/>
        <v>26000</v>
      </c>
      <c r="G27" s="27">
        <f t="shared" si="13"/>
        <v>36000</v>
      </c>
      <c r="H27" s="27">
        <f t="shared" si="13"/>
        <v>50000</v>
      </c>
      <c r="I27" s="27">
        <f t="shared" si="13"/>
        <v>71000</v>
      </c>
      <c r="J27" s="27">
        <f t="shared" ref="J27:K27" si="14">ROUNDDOWN(J29*$L$27,-3)</f>
        <v>107000</v>
      </c>
      <c r="K27" s="27">
        <f t="shared" si="14"/>
        <v>160000</v>
      </c>
      <c r="L27" s="225">
        <v>0.26</v>
      </c>
      <c r="M27" s="18" t="s">
        <v>245</v>
      </c>
    </row>
    <row r="28" spans="1:13" x14ac:dyDescent="0.25">
      <c r="A28" s="26" t="s">
        <v>11</v>
      </c>
      <c r="B28" s="27">
        <f t="shared" ref="B28:I28" si="15">ROUNDDOWN(B29*$L$28,-3)</f>
        <v>7000</v>
      </c>
      <c r="C28" s="27">
        <f t="shared" si="15"/>
        <v>9000</v>
      </c>
      <c r="D28" s="27">
        <f t="shared" si="15"/>
        <v>11000</v>
      </c>
      <c r="E28" s="27">
        <f t="shared" si="15"/>
        <v>15000</v>
      </c>
      <c r="F28" s="27">
        <f t="shared" si="15"/>
        <v>20000</v>
      </c>
      <c r="G28" s="27">
        <f t="shared" si="15"/>
        <v>28000</v>
      </c>
      <c r="H28" s="27">
        <f t="shared" si="15"/>
        <v>39000</v>
      </c>
      <c r="I28" s="27">
        <f t="shared" si="15"/>
        <v>55000</v>
      </c>
      <c r="J28" s="27">
        <f t="shared" ref="J28:K28" si="16">ROUNDDOWN(J29*$L$28,-3)</f>
        <v>82000</v>
      </c>
      <c r="K28" s="27">
        <f t="shared" si="16"/>
        <v>123000</v>
      </c>
      <c r="L28" s="225">
        <v>0.2</v>
      </c>
      <c r="M28" s="18" t="s">
        <v>245</v>
      </c>
    </row>
    <row r="29" spans="1:13" x14ac:dyDescent="0.25">
      <c r="A29" s="44" t="s">
        <v>19</v>
      </c>
      <c r="B29" s="167">
        <f>ROUNDDOWN(B26*$J$22,-3)</f>
        <v>35000</v>
      </c>
      <c r="C29" s="167">
        <f t="shared" ref="C29:K29" si="17">ROUNDDOWN(C26*$J$55,-3)</f>
        <v>45000</v>
      </c>
      <c r="D29" s="167">
        <f t="shared" si="17"/>
        <v>59000</v>
      </c>
      <c r="E29" s="167">
        <f t="shared" si="17"/>
        <v>77000</v>
      </c>
      <c r="F29" s="167">
        <f t="shared" si="17"/>
        <v>100000</v>
      </c>
      <c r="G29" s="167">
        <f t="shared" si="17"/>
        <v>140000</v>
      </c>
      <c r="H29" s="167">
        <f t="shared" si="17"/>
        <v>196000</v>
      </c>
      <c r="I29" s="167">
        <f t="shared" si="17"/>
        <v>275000</v>
      </c>
      <c r="J29" s="167">
        <f t="shared" si="17"/>
        <v>412000</v>
      </c>
      <c r="K29" s="167">
        <f t="shared" si="17"/>
        <v>618000</v>
      </c>
      <c r="L29" s="45">
        <v>1</v>
      </c>
    </row>
    <row r="30" spans="1:13" x14ac:dyDescent="0.25">
      <c r="A30" s="26" t="s">
        <v>13</v>
      </c>
      <c r="B30" s="27">
        <f t="shared" ref="B30:I30" si="18">ROUNDDOWN(B29*$L$30,-3)</f>
        <v>15000</v>
      </c>
      <c r="C30" s="27">
        <f t="shared" si="18"/>
        <v>20000</v>
      </c>
      <c r="D30" s="27">
        <f t="shared" si="18"/>
        <v>26000</v>
      </c>
      <c r="E30" s="27">
        <f t="shared" si="18"/>
        <v>34000</v>
      </c>
      <c r="F30" s="27">
        <f t="shared" si="18"/>
        <v>45000</v>
      </c>
      <c r="G30" s="27">
        <f t="shared" si="18"/>
        <v>63000</v>
      </c>
      <c r="H30" s="27">
        <f t="shared" si="18"/>
        <v>88000</v>
      </c>
      <c r="I30" s="27">
        <f t="shared" si="18"/>
        <v>123000</v>
      </c>
      <c r="J30" s="27">
        <f t="shared" ref="J30:K30" si="19">ROUNDDOWN(J29*$L$30,-3)</f>
        <v>185000</v>
      </c>
      <c r="K30" s="27">
        <f t="shared" si="19"/>
        <v>278000</v>
      </c>
      <c r="L30" s="28">
        <v>0.45</v>
      </c>
    </row>
    <row r="31" spans="1:13" x14ac:dyDescent="0.25">
      <c r="A31" s="26" t="s">
        <v>252</v>
      </c>
      <c r="B31" s="27"/>
      <c r="C31" s="27"/>
      <c r="D31" s="27"/>
      <c r="E31" s="27"/>
      <c r="F31" s="27"/>
      <c r="G31" s="27"/>
      <c r="H31" s="27"/>
      <c r="I31" s="27"/>
      <c r="J31" s="27"/>
      <c r="K31" s="27"/>
      <c r="L31" s="28"/>
    </row>
    <row r="32" spans="1:13" x14ac:dyDescent="0.25">
      <c r="A32" s="41" t="s">
        <v>24</v>
      </c>
      <c r="B32" s="42">
        <f>SUM(B27:B31)</f>
        <v>66000</v>
      </c>
      <c r="C32" s="42">
        <f t="shared" ref="C32:I32" si="20">SUM(C27:C31)</f>
        <v>85000</v>
      </c>
      <c r="D32" s="42">
        <f t="shared" si="20"/>
        <v>111000</v>
      </c>
      <c r="E32" s="42">
        <f t="shared" si="20"/>
        <v>146000</v>
      </c>
      <c r="F32" s="42">
        <f t="shared" si="20"/>
        <v>191000</v>
      </c>
      <c r="G32" s="42">
        <f t="shared" si="20"/>
        <v>267000</v>
      </c>
      <c r="H32" s="42">
        <f t="shared" si="20"/>
        <v>373000</v>
      </c>
      <c r="I32" s="42">
        <f t="shared" si="20"/>
        <v>524000</v>
      </c>
      <c r="J32" s="42">
        <f t="shared" ref="J32:K32" si="21">SUM(J27:J31)</f>
        <v>786000</v>
      </c>
      <c r="K32" s="42">
        <f t="shared" si="21"/>
        <v>1179000</v>
      </c>
      <c r="L32" s="43"/>
    </row>
    <row r="33" spans="1:13" x14ac:dyDescent="0.25">
      <c r="A33" s="18" t="s">
        <v>236</v>
      </c>
    </row>
    <row r="34" spans="1:13" x14ac:dyDescent="0.25">
      <c r="A34" s="341" t="s">
        <v>261</v>
      </c>
    </row>
    <row r="35" spans="1:13" x14ac:dyDescent="0.25">
      <c r="A35" s="341"/>
    </row>
    <row r="36" spans="1:13" x14ac:dyDescent="0.25">
      <c r="A36" s="341"/>
    </row>
    <row r="37" spans="1:13" x14ac:dyDescent="0.25">
      <c r="A37" s="20" t="s">
        <v>263</v>
      </c>
      <c r="H37" s="383" t="s">
        <v>23</v>
      </c>
      <c r="I37" s="383"/>
      <c r="J37" s="24">
        <v>234000</v>
      </c>
      <c r="K37" s="20" t="s">
        <v>22</v>
      </c>
    </row>
    <row r="38" spans="1:13" x14ac:dyDescent="0.25">
      <c r="A38" s="18" t="s">
        <v>264</v>
      </c>
    </row>
    <row r="41" spans="1:13" x14ac:dyDescent="0.25">
      <c r="A41" s="390" t="s">
        <v>20</v>
      </c>
      <c r="B41" s="8" t="s">
        <v>1</v>
      </c>
      <c r="C41" s="8" t="s">
        <v>2</v>
      </c>
      <c r="D41" s="8" t="s">
        <v>3</v>
      </c>
      <c r="E41" s="8" t="s">
        <v>4</v>
      </c>
      <c r="F41" s="8" t="s">
        <v>5</v>
      </c>
      <c r="G41" s="8" t="s">
        <v>16</v>
      </c>
      <c r="H41" s="8" t="s">
        <v>17</v>
      </c>
      <c r="I41" s="8" t="s">
        <v>18</v>
      </c>
      <c r="J41" s="8" t="s">
        <v>253</v>
      </c>
      <c r="K41" s="8" t="s">
        <v>254</v>
      </c>
      <c r="L41" s="376" t="s">
        <v>21</v>
      </c>
    </row>
    <row r="42" spans="1:13" x14ac:dyDescent="0.25">
      <c r="A42" s="391"/>
      <c r="B42" s="168">
        <f>0.15</f>
        <v>0.15</v>
      </c>
      <c r="C42" s="168">
        <f>B42*1.3</f>
        <v>0.19500000000000001</v>
      </c>
      <c r="D42" s="168">
        <f>C42*1.3</f>
        <v>0.2535</v>
      </c>
      <c r="E42" s="168">
        <f>D42*2</f>
        <v>0.50700000000000001</v>
      </c>
      <c r="F42" s="168">
        <f>E42*1.3</f>
        <v>0.65910000000000002</v>
      </c>
      <c r="G42" s="168">
        <f>F42*1.4</f>
        <v>0.92274</v>
      </c>
      <c r="H42" s="168">
        <f>G42*4</f>
        <v>3.69096</v>
      </c>
      <c r="I42" s="168">
        <f>H42*1.4</f>
        <v>5.1673439999999999</v>
      </c>
      <c r="J42" s="168">
        <f>I42*1.5</f>
        <v>7.7510159999999999</v>
      </c>
      <c r="K42" s="168">
        <f>J42*1.5</f>
        <v>11.626524</v>
      </c>
      <c r="L42" s="377"/>
    </row>
    <row r="43" spans="1:13" x14ac:dyDescent="0.25">
      <c r="A43" s="26" t="s">
        <v>8</v>
      </c>
      <c r="B43" s="27">
        <f t="shared" ref="B43:I43" si="22">ROUNDDOWN(B45*$L$27,-3)</f>
        <v>9000</v>
      </c>
      <c r="C43" s="27">
        <f t="shared" si="22"/>
        <v>11000</v>
      </c>
      <c r="D43" s="27">
        <f t="shared" si="22"/>
        <v>15000</v>
      </c>
      <c r="E43" s="27">
        <f t="shared" si="22"/>
        <v>30000</v>
      </c>
      <c r="F43" s="27">
        <f t="shared" si="22"/>
        <v>40000</v>
      </c>
      <c r="G43" s="27">
        <f t="shared" si="22"/>
        <v>55000</v>
      </c>
      <c r="H43" s="27">
        <f t="shared" si="22"/>
        <v>224000</v>
      </c>
      <c r="I43" s="27">
        <f t="shared" si="22"/>
        <v>314000</v>
      </c>
      <c r="J43" s="27">
        <f t="shared" ref="J43:K43" si="23">ROUNDDOWN(J45*$L$27,-3)</f>
        <v>471000</v>
      </c>
      <c r="K43" s="27">
        <f t="shared" si="23"/>
        <v>707000</v>
      </c>
      <c r="L43" s="225">
        <v>0.26</v>
      </c>
      <c r="M43" s="18" t="s">
        <v>245</v>
      </c>
    </row>
    <row r="44" spans="1:13" x14ac:dyDescent="0.25">
      <c r="A44" s="26" t="s">
        <v>11</v>
      </c>
      <c r="B44" s="27">
        <f t="shared" ref="B44:I44" si="24">ROUNDDOWN(B45*$L$28,-3)</f>
        <v>7000</v>
      </c>
      <c r="C44" s="27">
        <f t="shared" si="24"/>
        <v>9000</v>
      </c>
      <c r="D44" s="27">
        <f t="shared" si="24"/>
        <v>11000</v>
      </c>
      <c r="E44" s="27">
        <f t="shared" si="24"/>
        <v>23000</v>
      </c>
      <c r="F44" s="27">
        <f t="shared" si="24"/>
        <v>30000</v>
      </c>
      <c r="G44" s="27">
        <f t="shared" si="24"/>
        <v>43000</v>
      </c>
      <c r="H44" s="27">
        <f t="shared" si="24"/>
        <v>172000</v>
      </c>
      <c r="I44" s="27">
        <f t="shared" si="24"/>
        <v>241000</v>
      </c>
      <c r="J44" s="27">
        <f t="shared" ref="J44" si="25">ROUNDDOWN(J45*$L$28,-3)</f>
        <v>362000</v>
      </c>
      <c r="K44" s="27">
        <f t="shared" ref="K44" si="26">ROUNDDOWN(K45*$L$28,-3)</f>
        <v>544000</v>
      </c>
      <c r="L44" s="225">
        <v>0.2</v>
      </c>
      <c r="M44" s="18" t="s">
        <v>245</v>
      </c>
    </row>
    <row r="45" spans="1:13" x14ac:dyDescent="0.25">
      <c r="A45" s="44" t="s">
        <v>19</v>
      </c>
      <c r="B45" s="167">
        <f>ROUNDDOWN(B42*$J$37,-3)</f>
        <v>35000</v>
      </c>
      <c r="C45" s="167">
        <f t="shared" ref="C45:K45" si="27">ROUNDDOWN(C42*$J$55,-3)</f>
        <v>45000</v>
      </c>
      <c r="D45" s="167">
        <f t="shared" si="27"/>
        <v>59000</v>
      </c>
      <c r="E45" s="167">
        <f t="shared" si="27"/>
        <v>118000</v>
      </c>
      <c r="F45" s="167">
        <f t="shared" si="27"/>
        <v>154000</v>
      </c>
      <c r="G45" s="167">
        <f t="shared" si="27"/>
        <v>215000</v>
      </c>
      <c r="H45" s="167">
        <f t="shared" si="27"/>
        <v>863000</v>
      </c>
      <c r="I45" s="167">
        <f t="shared" si="27"/>
        <v>1209000</v>
      </c>
      <c r="J45" s="167">
        <f t="shared" si="27"/>
        <v>1813000</v>
      </c>
      <c r="K45" s="167">
        <f t="shared" si="27"/>
        <v>2720000</v>
      </c>
      <c r="L45" s="45">
        <v>1</v>
      </c>
    </row>
    <row r="46" spans="1:13" x14ac:dyDescent="0.25">
      <c r="A46" s="26" t="s">
        <v>13</v>
      </c>
      <c r="B46" s="27">
        <f t="shared" ref="B46:I46" si="28">ROUNDDOWN(B45*$L$30,-3)</f>
        <v>15000</v>
      </c>
      <c r="C46" s="27">
        <f t="shared" si="28"/>
        <v>20000</v>
      </c>
      <c r="D46" s="27">
        <f t="shared" si="28"/>
        <v>26000</v>
      </c>
      <c r="E46" s="27">
        <f t="shared" si="28"/>
        <v>53000</v>
      </c>
      <c r="F46" s="27">
        <f t="shared" si="28"/>
        <v>69000</v>
      </c>
      <c r="G46" s="27">
        <f t="shared" si="28"/>
        <v>96000</v>
      </c>
      <c r="H46" s="27">
        <f t="shared" si="28"/>
        <v>388000</v>
      </c>
      <c r="I46" s="27">
        <f t="shared" si="28"/>
        <v>544000</v>
      </c>
      <c r="J46" s="27">
        <f t="shared" ref="J46" si="29">ROUNDDOWN(J45*$L$30,-3)</f>
        <v>815000</v>
      </c>
      <c r="K46" s="27">
        <f t="shared" ref="K46" si="30">ROUNDDOWN(K45*$L$30,-3)</f>
        <v>1224000</v>
      </c>
      <c r="L46" s="28">
        <v>0.45</v>
      </c>
    </row>
    <row r="47" spans="1:13" x14ac:dyDescent="0.25">
      <c r="A47" s="26" t="s">
        <v>252</v>
      </c>
      <c r="B47" s="27"/>
      <c r="C47" s="27"/>
      <c r="D47" s="27"/>
      <c r="E47" s="27"/>
      <c r="F47" s="27"/>
      <c r="G47" s="27"/>
      <c r="H47" s="27"/>
      <c r="I47" s="27"/>
      <c r="J47" s="27"/>
      <c r="K47" s="27"/>
      <c r="L47" s="28"/>
    </row>
    <row r="48" spans="1:13" x14ac:dyDescent="0.25">
      <c r="A48" s="41" t="s">
        <v>24</v>
      </c>
      <c r="B48" s="42">
        <f>SUM(B43:B47)</f>
        <v>66000</v>
      </c>
      <c r="C48" s="42">
        <f t="shared" ref="C48:K48" si="31">SUM(C43:C47)</f>
        <v>85000</v>
      </c>
      <c r="D48" s="42">
        <f t="shared" si="31"/>
        <v>111000</v>
      </c>
      <c r="E48" s="42">
        <f t="shared" si="31"/>
        <v>224000</v>
      </c>
      <c r="F48" s="42">
        <f t="shared" si="31"/>
        <v>293000</v>
      </c>
      <c r="G48" s="42">
        <f t="shared" si="31"/>
        <v>409000</v>
      </c>
      <c r="H48" s="42">
        <f t="shared" si="31"/>
        <v>1647000</v>
      </c>
      <c r="I48" s="42">
        <f t="shared" si="31"/>
        <v>2308000</v>
      </c>
      <c r="J48" s="42">
        <f t="shared" si="31"/>
        <v>3461000</v>
      </c>
      <c r="K48" s="42">
        <f t="shared" si="31"/>
        <v>5195000</v>
      </c>
      <c r="L48" s="43"/>
    </row>
    <row r="49" spans="1:13" x14ac:dyDescent="0.25">
      <c r="A49" s="18" t="s">
        <v>236</v>
      </c>
    </row>
    <row r="50" spans="1:13" x14ac:dyDescent="0.25">
      <c r="A50" s="341" t="s">
        <v>261</v>
      </c>
    </row>
    <row r="54" spans="1:13" x14ac:dyDescent="0.25">
      <c r="A54" s="20" t="s">
        <v>243</v>
      </c>
    </row>
    <row r="55" spans="1:13" x14ac:dyDescent="0.25">
      <c r="A55" s="418" t="s">
        <v>287</v>
      </c>
      <c r="H55" s="383" t="s">
        <v>23</v>
      </c>
      <c r="I55" s="383"/>
      <c r="J55" s="24">
        <v>234000</v>
      </c>
      <c r="K55" s="20" t="s">
        <v>22</v>
      </c>
    </row>
    <row r="57" spans="1:13" x14ac:dyDescent="0.25">
      <c r="A57" s="390" t="s">
        <v>20</v>
      </c>
      <c r="B57" s="8" t="s">
        <v>1</v>
      </c>
      <c r="C57" s="8" t="s">
        <v>2</v>
      </c>
      <c r="D57" s="8" t="s">
        <v>3</v>
      </c>
      <c r="E57" s="8" t="s">
        <v>4</v>
      </c>
      <c r="F57" s="8" t="s">
        <v>5</v>
      </c>
      <c r="G57" s="305" t="s">
        <v>16</v>
      </c>
      <c r="H57" s="305" t="s">
        <v>17</v>
      </c>
      <c r="I57" s="305" t="s">
        <v>18</v>
      </c>
      <c r="J57" s="8" t="s">
        <v>253</v>
      </c>
      <c r="K57" s="8" t="s">
        <v>254</v>
      </c>
      <c r="L57" s="376" t="s">
        <v>21</v>
      </c>
    </row>
    <row r="58" spans="1:13" x14ac:dyDescent="0.25">
      <c r="A58" s="391"/>
      <c r="B58" s="168">
        <f>0.06</f>
        <v>0.06</v>
      </c>
      <c r="C58" s="168">
        <f>B58*1.3</f>
        <v>7.8E-2</v>
      </c>
      <c r="D58" s="168">
        <f>C58*1.3</f>
        <v>0.1014</v>
      </c>
      <c r="E58" s="168">
        <f>D58*2</f>
        <v>0.20280000000000001</v>
      </c>
      <c r="F58" s="168">
        <f>E58*1.3</f>
        <v>0.26364000000000004</v>
      </c>
      <c r="G58" s="168">
        <f>F58*1.4</f>
        <v>0.36909600000000004</v>
      </c>
      <c r="H58" s="168">
        <f>G58*1.4</f>
        <v>0.51673440000000004</v>
      </c>
      <c r="I58" s="168">
        <f>H58*1.4</f>
        <v>0.72342815999999999</v>
      </c>
      <c r="J58" s="168">
        <f>I58*1.5</f>
        <v>1.0851422399999999</v>
      </c>
      <c r="K58" s="168">
        <f>J58*1.5</f>
        <v>1.62771336</v>
      </c>
      <c r="L58" s="377"/>
    </row>
    <row r="59" spans="1:13" x14ac:dyDescent="0.25">
      <c r="A59" s="301" t="s">
        <v>8</v>
      </c>
      <c r="B59" s="27">
        <f>ROUNDDOWN(B61*$L$59,-3)</f>
        <v>4000</v>
      </c>
      <c r="C59" s="27">
        <f t="shared" ref="C59:K59" si="32">ROUNDDOWN(C61*$L$59,-3)</f>
        <v>5000</v>
      </c>
      <c r="D59" s="27">
        <f t="shared" si="32"/>
        <v>6000</v>
      </c>
      <c r="E59" s="27">
        <f t="shared" si="32"/>
        <v>14000</v>
      </c>
      <c r="F59" s="27">
        <f t="shared" si="32"/>
        <v>18000</v>
      </c>
      <c r="G59" s="27">
        <f t="shared" si="32"/>
        <v>25000</v>
      </c>
      <c r="H59" s="27">
        <f t="shared" si="32"/>
        <v>36000</v>
      </c>
      <c r="I59" s="27">
        <f t="shared" si="32"/>
        <v>50000</v>
      </c>
      <c r="J59" s="27">
        <f t="shared" si="32"/>
        <v>75000</v>
      </c>
      <c r="K59" s="27">
        <f t="shared" si="32"/>
        <v>114000</v>
      </c>
      <c r="L59" s="28">
        <v>0.3</v>
      </c>
      <c r="M59" s="18" t="s">
        <v>245</v>
      </c>
    </row>
    <row r="60" spans="1:13" x14ac:dyDescent="0.25">
      <c r="A60" s="301" t="s">
        <v>11</v>
      </c>
      <c r="B60" s="27">
        <f>ROUNDDOWN(B61*$L$60,-3)</f>
        <v>2000</v>
      </c>
      <c r="C60" s="27">
        <f t="shared" ref="C60:K60" si="33">ROUNDDOWN(C61*$L$60,-3)</f>
        <v>3000</v>
      </c>
      <c r="D60" s="27">
        <f t="shared" si="33"/>
        <v>4000</v>
      </c>
      <c r="E60" s="27">
        <f t="shared" si="33"/>
        <v>9000</v>
      </c>
      <c r="F60" s="27">
        <f t="shared" si="33"/>
        <v>12000</v>
      </c>
      <c r="G60" s="27">
        <f t="shared" si="33"/>
        <v>17000</v>
      </c>
      <c r="H60" s="27">
        <f t="shared" si="33"/>
        <v>24000</v>
      </c>
      <c r="I60" s="27">
        <f t="shared" si="33"/>
        <v>33000</v>
      </c>
      <c r="J60" s="27">
        <f t="shared" si="33"/>
        <v>50000</v>
      </c>
      <c r="K60" s="27">
        <f t="shared" si="33"/>
        <v>76000</v>
      </c>
      <c r="L60" s="28">
        <v>0.2</v>
      </c>
      <c r="M60" s="18" t="s">
        <v>245</v>
      </c>
    </row>
    <row r="61" spans="1:13" x14ac:dyDescent="0.25">
      <c r="A61" s="44" t="s">
        <v>19</v>
      </c>
      <c r="B61" s="167">
        <f t="shared" ref="B61:K61" si="34">ROUNDDOWN(B58*$J$55,-3)</f>
        <v>14000</v>
      </c>
      <c r="C61" s="167">
        <f t="shared" si="34"/>
        <v>18000</v>
      </c>
      <c r="D61" s="167">
        <f t="shared" si="34"/>
        <v>23000</v>
      </c>
      <c r="E61" s="167">
        <f t="shared" si="34"/>
        <v>47000</v>
      </c>
      <c r="F61" s="167">
        <f t="shared" si="34"/>
        <v>61000</v>
      </c>
      <c r="G61" s="167">
        <f t="shared" si="34"/>
        <v>86000</v>
      </c>
      <c r="H61" s="167">
        <f t="shared" si="34"/>
        <v>120000</v>
      </c>
      <c r="I61" s="167">
        <f t="shared" si="34"/>
        <v>169000</v>
      </c>
      <c r="J61" s="167">
        <f t="shared" si="34"/>
        <v>253000</v>
      </c>
      <c r="K61" s="167">
        <f t="shared" si="34"/>
        <v>380000</v>
      </c>
      <c r="L61" s="45">
        <v>1</v>
      </c>
    </row>
    <row r="62" spans="1:13" x14ac:dyDescent="0.25">
      <c r="A62" s="26" t="s">
        <v>13</v>
      </c>
      <c r="B62" s="27">
        <f>ROUNDDOWN(B61*$L$62,-3)</f>
        <v>6000</v>
      </c>
      <c r="C62" s="27">
        <f t="shared" ref="C62:K62" si="35">ROUNDDOWN(C61*$L$62,-3)</f>
        <v>8000</v>
      </c>
      <c r="D62" s="27">
        <f t="shared" si="35"/>
        <v>10000</v>
      </c>
      <c r="E62" s="27">
        <f t="shared" si="35"/>
        <v>21000</v>
      </c>
      <c r="F62" s="27">
        <f t="shared" si="35"/>
        <v>27000</v>
      </c>
      <c r="G62" s="27">
        <f t="shared" si="35"/>
        <v>38000</v>
      </c>
      <c r="H62" s="27">
        <f t="shared" si="35"/>
        <v>54000</v>
      </c>
      <c r="I62" s="27">
        <f t="shared" si="35"/>
        <v>76000</v>
      </c>
      <c r="J62" s="27">
        <f t="shared" si="35"/>
        <v>113000</v>
      </c>
      <c r="K62" s="27">
        <f t="shared" si="35"/>
        <v>171000</v>
      </c>
      <c r="L62" s="28">
        <v>0.45</v>
      </c>
    </row>
    <row r="63" spans="1:13" x14ac:dyDescent="0.25">
      <c r="A63" s="26" t="s">
        <v>251</v>
      </c>
      <c r="B63" s="27"/>
      <c r="C63" s="27"/>
      <c r="D63" s="27"/>
      <c r="E63" s="27"/>
      <c r="F63" s="27"/>
      <c r="G63" s="27"/>
      <c r="H63" s="27"/>
      <c r="I63" s="27"/>
      <c r="J63" s="27"/>
      <c r="K63" s="27"/>
      <c r="L63" s="28"/>
    </row>
    <row r="64" spans="1:13" x14ac:dyDescent="0.25">
      <c r="A64" s="41" t="s">
        <v>24</v>
      </c>
      <c r="B64" s="42">
        <f>SUM(B59:B63)</f>
        <v>26000</v>
      </c>
      <c r="C64" s="42">
        <f t="shared" ref="C64:I64" si="36">SUM(C59:C63)</f>
        <v>34000</v>
      </c>
      <c r="D64" s="42">
        <f t="shared" si="36"/>
        <v>43000</v>
      </c>
      <c r="E64" s="42">
        <f t="shared" si="36"/>
        <v>91000</v>
      </c>
      <c r="F64" s="42">
        <f t="shared" si="36"/>
        <v>118000</v>
      </c>
      <c r="G64" s="42">
        <f t="shared" si="36"/>
        <v>166000</v>
      </c>
      <c r="H64" s="42">
        <f t="shared" si="36"/>
        <v>234000</v>
      </c>
      <c r="I64" s="42">
        <f t="shared" si="36"/>
        <v>328000</v>
      </c>
      <c r="J64" s="42">
        <f t="shared" ref="J64:K64" si="37">SUM(J59:J63)</f>
        <v>491000</v>
      </c>
      <c r="K64" s="42">
        <f t="shared" si="37"/>
        <v>741000</v>
      </c>
      <c r="L64" s="43"/>
    </row>
    <row r="66" spans="1:8" x14ac:dyDescent="0.25">
      <c r="A66" s="18" t="s">
        <v>107</v>
      </c>
    </row>
    <row r="69" spans="1:8" x14ac:dyDescent="0.25">
      <c r="A69" s="20" t="s">
        <v>108</v>
      </c>
    </row>
    <row r="70" spans="1:8" ht="33" x14ac:dyDescent="0.25">
      <c r="A70" s="248" t="s">
        <v>111</v>
      </c>
      <c r="B70" s="6" t="s">
        <v>112</v>
      </c>
      <c r="C70" s="227" t="s">
        <v>113</v>
      </c>
      <c r="D70" s="227" t="s">
        <v>114</v>
      </c>
      <c r="E70" s="227" t="s">
        <v>115</v>
      </c>
      <c r="F70" s="227" t="s">
        <v>116</v>
      </c>
      <c r="G70" s="6" t="s">
        <v>117</v>
      </c>
      <c r="H70" s="6" t="s">
        <v>6</v>
      </c>
    </row>
    <row r="71" spans="1:8" x14ac:dyDescent="0.25">
      <c r="A71" s="29" t="s">
        <v>109</v>
      </c>
      <c r="B71" s="228">
        <v>0.85</v>
      </c>
      <c r="C71" s="228">
        <v>0.75</v>
      </c>
      <c r="D71" s="228">
        <v>0.65</v>
      </c>
      <c r="E71" s="228">
        <v>0.55000000000000004</v>
      </c>
      <c r="F71" s="228">
        <v>0.45</v>
      </c>
      <c r="G71" s="228">
        <v>0.35</v>
      </c>
      <c r="H71" s="228">
        <v>1</v>
      </c>
    </row>
    <row r="72" spans="1:8" x14ac:dyDescent="0.25">
      <c r="A72" s="29" t="s">
        <v>118</v>
      </c>
      <c r="B72" s="229"/>
      <c r="C72" s="229"/>
      <c r="D72" s="229"/>
      <c r="E72" s="229"/>
      <c r="F72" s="229"/>
      <c r="G72" s="229"/>
      <c r="H72" s="229" t="s">
        <v>119</v>
      </c>
    </row>
    <row r="73" spans="1:8" x14ac:dyDescent="0.25">
      <c r="A73" s="29" t="s">
        <v>110</v>
      </c>
      <c r="B73" s="229" t="s">
        <v>103</v>
      </c>
      <c r="C73" s="229"/>
      <c r="D73" s="229"/>
      <c r="E73" s="229"/>
      <c r="F73" s="229"/>
      <c r="G73" s="229"/>
      <c r="H73" s="229" t="s">
        <v>120</v>
      </c>
    </row>
  </sheetData>
  <mergeCells count="11">
    <mergeCell ref="L7:L8"/>
    <mergeCell ref="L57:L58"/>
    <mergeCell ref="H22:I22"/>
    <mergeCell ref="A25:A26"/>
    <mergeCell ref="L25:L26"/>
    <mergeCell ref="A57:A58"/>
    <mergeCell ref="A7:A8"/>
    <mergeCell ref="H55:I55"/>
    <mergeCell ref="H37:I37"/>
    <mergeCell ref="A41:A42"/>
    <mergeCell ref="L41:L42"/>
  </mergeCells>
  <phoneticPr fontId="36" type="noConversion"/>
  <pageMargins left="0.70866141732283472" right="0.70866141732283472" top="0.39370078740157483" bottom="0.23622047244094491" header="0.31496062992125984" footer="0.19685039370078741"/>
  <pageSetup paperSize="9" scale="70" orientation="landscape"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249977111117893"/>
  </sheetPr>
  <dimension ref="A1:Q78"/>
  <sheetViews>
    <sheetView topLeftCell="B1" zoomScale="136" zoomScaleNormal="136" workbookViewId="0">
      <selection activeCell="F7" sqref="F7"/>
    </sheetView>
  </sheetViews>
  <sheetFormatPr defaultColWidth="9.140625" defaultRowHeight="15.75" x14ac:dyDescent="0.25"/>
  <cols>
    <col min="1" max="1" width="7.28515625" style="14" customWidth="1"/>
    <col min="2" max="3" width="9.140625" style="14"/>
    <col min="4" max="4" width="11.140625" style="14" customWidth="1"/>
    <col min="5" max="5" width="12.140625" style="47" customWidth="1"/>
    <col min="6" max="6" width="13.28515625" style="47" customWidth="1"/>
    <col min="7" max="8" width="13.28515625" style="14" customWidth="1"/>
    <col min="9" max="9" width="13.28515625" style="297" customWidth="1"/>
    <col min="10" max="10" width="13.28515625" style="14" customWidth="1"/>
    <col min="11" max="11" width="15.42578125" style="14" bestFit="1" customWidth="1"/>
    <col min="12" max="12" width="13.85546875" style="14" customWidth="1"/>
    <col min="13" max="14" width="13.28515625" style="14" customWidth="1"/>
    <col min="15" max="15" width="15.28515625" style="14" customWidth="1"/>
    <col min="16" max="16" width="10" style="14" customWidth="1"/>
    <col min="17" max="17" width="12.7109375" style="14" customWidth="1"/>
    <col min="18" max="18" width="13.28515625" style="14" customWidth="1"/>
    <col min="19" max="16384" width="9.140625" style="14"/>
  </cols>
  <sheetData>
    <row r="1" spans="1:17" ht="18" customHeight="1" x14ac:dyDescent="0.25"/>
    <row r="2" spans="1:17" x14ac:dyDescent="0.25">
      <c r="A2" s="14" t="s">
        <v>98</v>
      </c>
      <c r="O2" s="14">
        <f>2.09*50%</f>
        <v>1.0449999999999999</v>
      </c>
    </row>
    <row r="3" spans="1:17" ht="18" customHeight="1" x14ac:dyDescent="0.25">
      <c r="A3" s="14" t="s">
        <v>268</v>
      </c>
      <c r="B3" s="13"/>
      <c r="C3" s="13"/>
      <c r="D3" s="13"/>
      <c r="E3" s="89"/>
      <c r="F3" s="89"/>
      <c r="G3" s="13"/>
      <c r="H3" s="13"/>
      <c r="I3" s="298"/>
      <c r="J3" s="13"/>
      <c r="K3" s="13"/>
      <c r="L3" s="13"/>
      <c r="M3" s="13"/>
      <c r="N3" s="13"/>
      <c r="O3" s="13"/>
      <c r="P3" s="13"/>
      <c r="Q3" s="13"/>
    </row>
    <row r="4" spans="1:17" ht="18" customHeight="1" x14ac:dyDescent="0.25">
      <c r="A4" s="13" t="s">
        <v>234</v>
      </c>
      <c r="B4" s="13"/>
      <c r="C4" s="13"/>
      <c r="D4" s="13"/>
      <c r="E4" s="89"/>
      <c r="F4" s="89"/>
      <c r="G4" s="13"/>
      <c r="H4" s="13"/>
      <c r="I4" s="298"/>
      <c r="J4" s="13"/>
      <c r="K4" s="14" t="s">
        <v>60</v>
      </c>
      <c r="L4" s="15">
        <v>234000</v>
      </c>
      <c r="M4" s="14" t="s">
        <v>22</v>
      </c>
      <c r="N4" s="13"/>
      <c r="O4" s="13">
        <f>369+259</f>
        <v>628</v>
      </c>
      <c r="P4" s="13"/>
      <c r="Q4" s="13"/>
    </row>
    <row r="5" spans="1:17" ht="18" customHeight="1" x14ac:dyDescent="0.25">
      <c r="E5" s="291"/>
      <c r="F5" s="291"/>
      <c r="G5" s="291"/>
      <c r="H5" s="291"/>
      <c r="I5" s="299"/>
      <c r="J5" s="291"/>
      <c r="K5" s="291"/>
      <c r="L5" s="291"/>
      <c r="M5" s="291"/>
      <c r="N5" s="291"/>
    </row>
    <row r="6" spans="1:17" ht="18" customHeight="1" x14ac:dyDescent="0.25">
      <c r="A6" s="392" t="s">
        <v>269</v>
      </c>
      <c r="B6" s="393"/>
      <c r="C6" s="393"/>
      <c r="D6" s="393"/>
      <c r="E6" s="394"/>
      <c r="F6" s="16" t="s">
        <v>1</v>
      </c>
      <c r="G6" s="16" t="s">
        <v>2</v>
      </c>
      <c r="H6" s="16" t="s">
        <v>3</v>
      </c>
      <c r="I6" s="344" t="s">
        <v>4</v>
      </c>
      <c r="J6" s="16" t="s">
        <v>5</v>
      </c>
      <c r="K6" s="359" t="s">
        <v>16</v>
      </c>
      <c r="L6" s="359" t="s">
        <v>17</v>
      </c>
      <c r="M6" s="359" t="s">
        <v>18</v>
      </c>
      <c r="N6" s="7" t="s">
        <v>253</v>
      </c>
      <c r="O6" s="7" t="s">
        <v>254</v>
      </c>
      <c r="P6" s="398" t="s">
        <v>21</v>
      </c>
    </row>
    <row r="7" spans="1:17" x14ac:dyDescent="0.25">
      <c r="A7" s="395"/>
      <c r="B7" s="396"/>
      <c r="C7" s="396"/>
      <c r="D7" s="396"/>
      <c r="E7" s="397"/>
      <c r="F7" s="419">
        <v>1.1000000000000001</v>
      </c>
      <c r="G7" s="222">
        <f>F7*1.3</f>
        <v>1.4300000000000002</v>
      </c>
      <c r="H7" s="222">
        <f>G7*1.3</f>
        <v>1.8590000000000002</v>
      </c>
      <c r="I7" s="345">
        <f>H7*1.3</f>
        <v>2.4167000000000005</v>
      </c>
      <c r="J7" s="222">
        <f>I7*1.3</f>
        <v>3.1417100000000007</v>
      </c>
      <c r="K7" s="363">
        <f>J7*1.4</f>
        <v>4.3983940000000006</v>
      </c>
      <c r="L7" s="363">
        <f>K7*1.4</f>
        <v>6.1577516000000001</v>
      </c>
      <c r="M7" s="364">
        <f>L7*1.4</f>
        <v>8.6208522399999996</v>
      </c>
      <c r="N7" s="223">
        <f>M7*1.5</f>
        <v>12.93127836</v>
      </c>
      <c r="O7" s="223">
        <f>N7*1.5</f>
        <v>19.39691754</v>
      </c>
      <c r="P7" s="399"/>
    </row>
    <row r="8" spans="1:17" ht="18" customHeight="1" x14ac:dyDescent="0.25">
      <c r="A8" s="14" t="s">
        <v>31</v>
      </c>
      <c r="B8" s="2"/>
      <c r="C8" s="2"/>
      <c r="D8" s="2"/>
      <c r="E8" s="2"/>
      <c r="F8" s="65">
        <f>149000*2</f>
        <v>298000</v>
      </c>
      <c r="G8" s="65">
        <f>149000*3</f>
        <v>447000</v>
      </c>
      <c r="H8" s="65">
        <f>149000*4</f>
        <v>596000</v>
      </c>
      <c r="I8" s="346"/>
      <c r="J8" s="65">
        <f>149000*6</f>
        <v>894000</v>
      </c>
      <c r="K8" s="65">
        <f>149000*7</f>
        <v>1043000</v>
      </c>
      <c r="L8" s="118"/>
      <c r="M8" s="118"/>
      <c r="N8" s="118"/>
      <c r="O8" s="118"/>
      <c r="P8" s="173"/>
    </row>
    <row r="9" spans="1:17" ht="18" customHeight="1" x14ac:dyDescent="0.25">
      <c r="A9" s="17" t="s">
        <v>14</v>
      </c>
      <c r="B9" s="90" t="s">
        <v>54</v>
      </c>
      <c r="C9" s="91"/>
      <c r="D9" s="92"/>
      <c r="E9" s="66" t="s">
        <v>33</v>
      </c>
      <c r="F9" s="66"/>
      <c r="G9" s="17"/>
      <c r="H9" s="17"/>
      <c r="I9" s="347"/>
      <c r="J9" s="64"/>
      <c r="K9" s="118"/>
      <c r="L9" s="118"/>
      <c r="M9" s="118"/>
      <c r="N9" s="118"/>
      <c r="O9" s="118"/>
    </row>
    <row r="10" spans="1:17" ht="18" customHeight="1" x14ac:dyDescent="0.25">
      <c r="A10" s="93">
        <v>1</v>
      </c>
      <c r="B10" s="94" t="s">
        <v>34</v>
      </c>
      <c r="C10" s="95"/>
      <c r="D10" s="96"/>
      <c r="E10" s="67">
        <v>1</v>
      </c>
      <c r="F10" s="10">
        <f>ROUNDDOWN(F19*$P$10,-3)</f>
        <v>130000</v>
      </c>
      <c r="G10" s="10">
        <f t="shared" ref="G10:M10" si="0">ROUNDDOWN(G19*$P$10,-3)</f>
        <v>171000</v>
      </c>
      <c r="H10" s="10">
        <f t="shared" si="0"/>
        <v>223000</v>
      </c>
      <c r="I10" s="348">
        <f t="shared" si="0"/>
        <v>291000</v>
      </c>
      <c r="J10" s="10">
        <f t="shared" si="0"/>
        <v>379000</v>
      </c>
      <c r="K10" s="10">
        <f t="shared" si="0"/>
        <v>530000</v>
      </c>
      <c r="L10" s="169">
        <f t="shared" si="0"/>
        <v>748000</v>
      </c>
      <c r="M10" s="169">
        <f t="shared" si="0"/>
        <v>1045000</v>
      </c>
      <c r="N10" s="169">
        <f t="shared" ref="N10:O10" si="1">ROUNDDOWN(N19*$P$10,-3)</f>
        <v>1570000</v>
      </c>
      <c r="O10" s="169">
        <f t="shared" si="1"/>
        <v>2355000</v>
      </c>
      <c r="P10" s="371">
        <v>0.52</v>
      </c>
    </row>
    <row r="11" spans="1:17" ht="18" customHeight="1" x14ac:dyDescent="0.25">
      <c r="A11" s="93">
        <v>2</v>
      </c>
      <c r="B11" s="94" t="s">
        <v>35</v>
      </c>
      <c r="C11" s="95"/>
      <c r="D11" s="96"/>
      <c r="E11" s="67">
        <v>1</v>
      </c>
      <c r="F11" s="10">
        <f>ROUNDDOWN(F19*$P$11,-3)</f>
        <v>113000</v>
      </c>
      <c r="G11" s="10">
        <f t="shared" ref="G11:M11" si="2">ROUNDDOWN(G19*$P$11,-3)</f>
        <v>150000</v>
      </c>
      <c r="H11" s="10">
        <f t="shared" si="2"/>
        <v>195000</v>
      </c>
      <c r="I11" s="348">
        <f t="shared" si="2"/>
        <v>254000</v>
      </c>
      <c r="J11" s="10">
        <f t="shared" si="2"/>
        <v>332000</v>
      </c>
      <c r="K11" s="10">
        <f t="shared" si="2"/>
        <v>464000</v>
      </c>
      <c r="L11" s="169">
        <f t="shared" si="2"/>
        <v>655000</v>
      </c>
      <c r="M11" s="169">
        <f t="shared" si="2"/>
        <v>914000</v>
      </c>
      <c r="N11" s="169">
        <f t="shared" ref="N11:O11" si="3">ROUNDDOWN(N19*$P$11,-3)</f>
        <v>1374000</v>
      </c>
      <c r="O11" s="169">
        <f t="shared" si="3"/>
        <v>2061000</v>
      </c>
      <c r="P11" s="372">
        <v>0.45500000000000002</v>
      </c>
    </row>
    <row r="12" spans="1:17" ht="18" customHeight="1" x14ac:dyDescent="0.25">
      <c r="A12" s="93">
        <v>3</v>
      </c>
      <c r="B12" s="94" t="s">
        <v>36</v>
      </c>
      <c r="C12" s="95"/>
      <c r="D12" s="96"/>
      <c r="E12" s="67">
        <v>1</v>
      </c>
      <c r="F12" s="10">
        <f t="shared" ref="F12:M12" si="4">ROUNDDOWN(F19*$P$12,-3)</f>
        <v>113000</v>
      </c>
      <c r="G12" s="10">
        <f t="shared" si="4"/>
        <v>150000</v>
      </c>
      <c r="H12" s="10">
        <f t="shared" si="4"/>
        <v>195000</v>
      </c>
      <c r="I12" s="348">
        <f t="shared" si="4"/>
        <v>254000</v>
      </c>
      <c r="J12" s="10">
        <f t="shared" si="4"/>
        <v>332000</v>
      </c>
      <c r="K12" s="10">
        <f t="shared" si="4"/>
        <v>464000</v>
      </c>
      <c r="L12" s="169">
        <f t="shared" si="4"/>
        <v>655000</v>
      </c>
      <c r="M12" s="169">
        <f t="shared" si="4"/>
        <v>914000</v>
      </c>
      <c r="N12" s="169">
        <f t="shared" ref="N12:O12" si="5">ROUNDDOWN(N19*$P$12,-3)</f>
        <v>1374000</v>
      </c>
      <c r="O12" s="169">
        <f t="shared" si="5"/>
        <v>2061000</v>
      </c>
      <c r="P12" s="372">
        <v>0.45500000000000002</v>
      </c>
    </row>
    <row r="13" spans="1:17" s="48" customFormat="1" ht="27.6" customHeight="1" x14ac:dyDescent="0.25">
      <c r="A13" s="97">
        <v>4</v>
      </c>
      <c r="B13" s="98" t="s">
        <v>230</v>
      </c>
      <c r="C13" s="99"/>
      <c r="D13" s="100"/>
      <c r="E13" s="72"/>
      <c r="F13" s="72"/>
      <c r="G13" s="73"/>
      <c r="H13" s="73"/>
      <c r="I13" s="349"/>
      <c r="J13" s="74"/>
      <c r="K13" s="119"/>
      <c r="L13" s="119"/>
      <c r="M13" s="119"/>
      <c r="N13" s="119"/>
      <c r="O13" s="119"/>
      <c r="P13" s="219" t="s">
        <v>232</v>
      </c>
    </row>
    <row r="14" spans="1:17" ht="25.5" customHeight="1" x14ac:dyDescent="0.25">
      <c r="A14" s="93">
        <v>5</v>
      </c>
      <c r="B14" s="94" t="s">
        <v>229</v>
      </c>
      <c r="C14" s="95"/>
      <c r="D14" s="96"/>
      <c r="E14" s="67" t="s">
        <v>37</v>
      </c>
      <c r="F14" s="10"/>
      <c r="G14" s="10"/>
      <c r="H14" s="10"/>
      <c r="I14" s="10"/>
      <c r="J14" s="10"/>
      <c r="K14" s="10"/>
      <c r="L14" s="10"/>
      <c r="M14" s="10"/>
      <c r="N14" s="10"/>
      <c r="O14" s="10"/>
      <c r="P14" s="219" t="s">
        <v>288</v>
      </c>
    </row>
    <row r="15" spans="1:17" s="53" customFormat="1" ht="18" customHeight="1" x14ac:dyDescent="0.25">
      <c r="A15" s="77"/>
      <c r="B15" s="102" t="s">
        <v>38</v>
      </c>
      <c r="C15" s="103"/>
      <c r="D15" s="104"/>
      <c r="E15" s="79"/>
      <c r="F15" s="80">
        <f t="shared" ref="F15:M15" si="6">SUM(F10:F14)</f>
        <v>356000</v>
      </c>
      <c r="G15" s="80">
        <f t="shared" si="6"/>
        <v>471000</v>
      </c>
      <c r="H15" s="80">
        <f t="shared" si="6"/>
        <v>613000</v>
      </c>
      <c r="I15" s="350">
        <f t="shared" si="6"/>
        <v>799000</v>
      </c>
      <c r="J15" s="80">
        <f t="shared" si="6"/>
        <v>1043000</v>
      </c>
      <c r="K15" s="80">
        <f t="shared" si="6"/>
        <v>1458000</v>
      </c>
      <c r="L15" s="170">
        <f t="shared" si="6"/>
        <v>2058000</v>
      </c>
      <c r="M15" s="170">
        <f t="shared" si="6"/>
        <v>2873000</v>
      </c>
      <c r="N15" s="170">
        <f t="shared" ref="N15:O15" si="7">SUM(N10:N14)</f>
        <v>4318000</v>
      </c>
      <c r="O15" s="170">
        <f t="shared" si="7"/>
        <v>6477000</v>
      </c>
      <c r="P15" s="81"/>
    </row>
    <row r="16" spans="1:17" ht="18" customHeight="1" x14ac:dyDescent="0.25">
      <c r="A16" s="105" t="s">
        <v>39</v>
      </c>
      <c r="B16" s="105"/>
      <c r="C16" s="105"/>
      <c r="D16" s="106"/>
      <c r="E16" s="107"/>
      <c r="I16" s="105"/>
      <c r="P16" s="64"/>
    </row>
    <row r="17" spans="1:17" ht="18" customHeight="1" x14ac:dyDescent="0.25">
      <c r="A17" s="108" t="s">
        <v>14</v>
      </c>
      <c r="B17" s="109" t="s">
        <v>55</v>
      </c>
      <c r="C17" s="110"/>
      <c r="D17" s="111"/>
      <c r="E17" s="17"/>
      <c r="F17" s="17"/>
      <c r="G17" s="17"/>
      <c r="H17" s="17"/>
      <c r="I17" s="347"/>
      <c r="J17" s="64"/>
      <c r="K17" s="118"/>
      <c r="L17" s="118"/>
      <c r="M17" s="118"/>
      <c r="N17" s="118"/>
      <c r="O17" s="118"/>
      <c r="P17" s="64"/>
    </row>
    <row r="18" spans="1:17" ht="18" customHeight="1" x14ac:dyDescent="0.25">
      <c r="A18" s="93">
        <v>1</v>
      </c>
      <c r="B18" s="94" t="s">
        <v>40</v>
      </c>
      <c r="C18" s="95"/>
      <c r="D18" s="96"/>
      <c r="E18" s="67">
        <v>1</v>
      </c>
      <c r="F18" s="10">
        <f t="shared" ref="F18:M18" si="8">ROUNDDOWN(F19*$P$18,-3)</f>
        <v>50000</v>
      </c>
      <c r="G18" s="10">
        <f t="shared" si="8"/>
        <v>66000</v>
      </c>
      <c r="H18" s="10">
        <f t="shared" si="8"/>
        <v>86000</v>
      </c>
      <c r="I18" s="348">
        <f t="shared" si="8"/>
        <v>112000</v>
      </c>
      <c r="J18" s="10">
        <f t="shared" si="8"/>
        <v>146000</v>
      </c>
      <c r="K18" s="10">
        <f t="shared" si="8"/>
        <v>204000</v>
      </c>
      <c r="L18" s="169">
        <f t="shared" si="8"/>
        <v>288000</v>
      </c>
      <c r="M18" s="169">
        <f t="shared" si="8"/>
        <v>402000</v>
      </c>
      <c r="N18" s="169">
        <f t="shared" ref="N18:O18" si="9">ROUNDDOWN(N19*$P$18,-3)</f>
        <v>604000</v>
      </c>
      <c r="O18" s="169">
        <f t="shared" si="9"/>
        <v>906000</v>
      </c>
      <c r="P18" s="117">
        <v>0.2</v>
      </c>
    </row>
    <row r="19" spans="1:17" ht="18" customHeight="1" x14ac:dyDescent="0.25">
      <c r="A19" s="93">
        <v>2</v>
      </c>
      <c r="B19" s="221" t="s">
        <v>41</v>
      </c>
      <c r="C19" s="95"/>
      <c r="D19" s="96"/>
      <c r="E19" s="67" t="s">
        <v>37</v>
      </c>
      <c r="F19" s="11">
        <f>ROUNDDOWN(F7*$L$4,-4)</f>
        <v>250000</v>
      </c>
      <c r="G19" s="11">
        <f>ROUNDDOWN(G7*$L$4,-4)</f>
        <v>330000</v>
      </c>
      <c r="H19" s="11">
        <f t="shared" ref="H19:M19" si="10">ROUNDDOWN(H7*$L$4,-4)</f>
        <v>430000</v>
      </c>
      <c r="I19" s="11">
        <f t="shared" si="10"/>
        <v>560000</v>
      </c>
      <c r="J19" s="11">
        <f t="shared" si="10"/>
        <v>730000</v>
      </c>
      <c r="K19" s="11">
        <f t="shared" si="10"/>
        <v>1020000</v>
      </c>
      <c r="L19" s="11">
        <f t="shared" si="10"/>
        <v>1440000</v>
      </c>
      <c r="M19" s="11">
        <f t="shared" si="10"/>
        <v>2010000</v>
      </c>
      <c r="N19" s="11">
        <f t="shared" ref="N19" si="11">ROUNDDOWN(N7*$L$4,-4)</f>
        <v>3020000</v>
      </c>
      <c r="O19" s="11">
        <f>ROUNDDOWN(O7*$L$4,-4)</f>
        <v>4530000</v>
      </c>
      <c r="P19" s="254">
        <v>1</v>
      </c>
    </row>
    <row r="20" spans="1:17" ht="18" customHeight="1" x14ac:dyDescent="0.25">
      <c r="A20" s="93">
        <v>3</v>
      </c>
      <c r="B20" s="98" t="s">
        <v>56</v>
      </c>
      <c r="C20" s="99"/>
      <c r="D20" s="100"/>
      <c r="E20" s="72">
        <v>1</v>
      </c>
      <c r="F20" s="10">
        <f t="shared" ref="F20:M20" si="12">ROUNDDOWN(F19*$P$20,-3)</f>
        <v>150000</v>
      </c>
      <c r="G20" s="10">
        <f t="shared" si="12"/>
        <v>198000</v>
      </c>
      <c r="H20" s="10">
        <f t="shared" si="12"/>
        <v>258000</v>
      </c>
      <c r="I20" s="348">
        <f t="shared" si="12"/>
        <v>336000</v>
      </c>
      <c r="J20" s="10">
        <f t="shared" si="12"/>
        <v>438000</v>
      </c>
      <c r="K20" s="10">
        <f t="shared" si="12"/>
        <v>612000</v>
      </c>
      <c r="L20" s="169">
        <f t="shared" si="12"/>
        <v>864000</v>
      </c>
      <c r="M20" s="169">
        <f t="shared" si="12"/>
        <v>1206000</v>
      </c>
      <c r="N20" s="169">
        <f t="shared" ref="N20:O20" si="13">ROUNDDOWN(N19*$P$20,-3)</f>
        <v>1812000</v>
      </c>
      <c r="O20" s="169">
        <f t="shared" si="13"/>
        <v>2718000</v>
      </c>
      <c r="P20" s="360">
        <v>0.6</v>
      </c>
      <c r="Q20" s="400" t="s">
        <v>270</v>
      </c>
    </row>
    <row r="21" spans="1:17" ht="18" customHeight="1" x14ac:dyDescent="0.25">
      <c r="A21" s="93">
        <v>4</v>
      </c>
      <c r="B21" s="94" t="s">
        <v>100</v>
      </c>
      <c r="C21" s="95"/>
      <c r="D21" s="13"/>
      <c r="E21" s="67">
        <v>1</v>
      </c>
      <c r="F21" s="10">
        <f t="shared" ref="F21:M21" si="14">ROUNDDOWN(F19*$P$21,-3)</f>
        <v>87000</v>
      </c>
      <c r="G21" s="10">
        <f t="shared" si="14"/>
        <v>115000</v>
      </c>
      <c r="H21" s="10">
        <f t="shared" si="14"/>
        <v>150000</v>
      </c>
      <c r="I21" s="348">
        <f t="shared" si="14"/>
        <v>196000</v>
      </c>
      <c r="J21" s="10">
        <f t="shared" si="14"/>
        <v>255000</v>
      </c>
      <c r="K21" s="10">
        <f t="shared" si="14"/>
        <v>357000</v>
      </c>
      <c r="L21" s="169">
        <f t="shared" si="14"/>
        <v>504000</v>
      </c>
      <c r="M21" s="169">
        <f t="shared" si="14"/>
        <v>703000</v>
      </c>
      <c r="N21" s="169">
        <f t="shared" ref="N21:O21" si="15">ROUNDDOWN(N19*$P$21,-3)</f>
        <v>1057000</v>
      </c>
      <c r="O21" s="169">
        <f t="shared" si="15"/>
        <v>1585000</v>
      </c>
      <c r="P21" s="361">
        <v>0.35</v>
      </c>
      <c r="Q21" s="400"/>
    </row>
    <row r="22" spans="1:17" ht="18" customHeight="1" x14ac:dyDescent="0.25">
      <c r="A22" s="93">
        <v>5</v>
      </c>
      <c r="B22" s="94" t="s">
        <v>42</v>
      </c>
      <c r="C22" s="95"/>
      <c r="D22" s="96"/>
      <c r="E22" s="67">
        <v>1</v>
      </c>
      <c r="F22" s="67"/>
      <c r="G22" s="10"/>
      <c r="H22" s="82"/>
      <c r="I22" s="351"/>
      <c r="J22" s="83"/>
      <c r="K22" s="120"/>
      <c r="L22" s="120"/>
      <c r="M22" s="120"/>
      <c r="N22" s="120"/>
      <c r="O22" s="120"/>
      <c r="P22" s="71"/>
    </row>
    <row r="23" spans="1:17" ht="18" customHeight="1" x14ac:dyDescent="0.25">
      <c r="A23" s="93">
        <v>6</v>
      </c>
      <c r="B23" s="94" t="s">
        <v>43</v>
      </c>
      <c r="C23" s="95"/>
      <c r="D23" s="96"/>
      <c r="E23" s="67"/>
      <c r="F23" s="67"/>
      <c r="G23" s="82"/>
      <c r="H23" s="82"/>
      <c r="I23" s="351"/>
      <c r="J23" s="83"/>
      <c r="K23" s="13"/>
      <c r="L23" s="13"/>
      <c r="M23" s="13"/>
      <c r="N23" s="13"/>
      <c r="O23" s="13"/>
      <c r="P23" s="76"/>
    </row>
    <row r="24" spans="1:17" s="53" customFormat="1" ht="18" customHeight="1" x14ac:dyDescent="0.25">
      <c r="A24" s="112"/>
      <c r="B24" s="102" t="s">
        <v>44</v>
      </c>
      <c r="C24" s="103"/>
      <c r="D24" s="78"/>
      <c r="E24" s="79"/>
      <c r="F24" s="85">
        <f t="shared" ref="F24:M24" si="16">SUM(F18:F23)</f>
        <v>537000</v>
      </c>
      <c r="G24" s="85">
        <f t="shared" si="16"/>
        <v>709000</v>
      </c>
      <c r="H24" s="85">
        <f t="shared" si="16"/>
        <v>924000</v>
      </c>
      <c r="I24" s="352">
        <f t="shared" si="16"/>
        <v>1204000</v>
      </c>
      <c r="J24" s="85">
        <f t="shared" si="16"/>
        <v>1569000</v>
      </c>
      <c r="K24" s="85">
        <f t="shared" si="16"/>
        <v>2193000</v>
      </c>
      <c r="L24" s="171">
        <f t="shared" si="16"/>
        <v>3096000</v>
      </c>
      <c r="M24" s="171">
        <f t="shared" si="16"/>
        <v>4321000</v>
      </c>
      <c r="N24" s="171">
        <f t="shared" ref="N24:O24" si="17">SUM(N18:N23)</f>
        <v>6493000</v>
      </c>
      <c r="O24" s="171">
        <f t="shared" si="17"/>
        <v>9739000</v>
      </c>
      <c r="P24" s="77"/>
    </row>
    <row r="25" spans="1:17" ht="18" customHeight="1" x14ac:dyDescent="0.25">
      <c r="A25" s="105" t="s">
        <v>45</v>
      </c>
      <c r="B25" s="105"/>
      <c r="C25" s="105"/>
      <c r="D25" s="106"/>
      <c r="E25" s="16"/>
      <c r="I25" s="353"/>
      <c r="J25" s="15"/>
      <c r="K25" s="15"/>
      <c r="L25" s="15"/>
      <c r="M25" s="15"/>
      <c r="P25" s="64"/>
    </row>
    <row r="26" spans="1:17" ht="18" customHeight="1" x14ac:dyDescent="0.25">
      <c r="A26" s="108" t="s">
        <v>14</v>
      </c>
      <c r="B26" s="113" t="s">
        <v>32</v>
      </c>
      <c r="C26" s="114"/>
      <c r="D26" s="111"/>
      <c r="E26" s="17"/>
      <c r="F26" s="17"/>
      <c r="G26" s="17"/>
      <c r="H26" s="17"/>
      <c r="I26" s="347"/>
      <c r="J26" s="64"/>
      <c r="K26" s="118"/>
      <c r="L26" s="118"/>
      <c r="M26" s="118"/>
      <c r="N26" s="118"/>
      <c r="O26" s="118"/>
      <c r="P26" s="64"/>
    </row>
    <row r="27" spans="1:17" ht="18" customHeight="1" x14ac:dyDescent="0.25">
      <c r="A27" s="93">
        <v>1</v>
      </c>
      <c r="B27" s="94" t="s">
        <v>46</v>
      </c>
      <c r="C27" s="95"/>
      <c r="D27" s="96"/>
      <c r="E27" s="67" t="s">
        <v>37</v>
      </c>
      <c r="F27" s="10">
        <f t="shared" ref="F27:M27" si="18">ROUNDDOWN(F19*$P$27,-3)</f>
        <v>100000</v>
      </c>
      <c r="G27" s="10">
        <f t="shared" si="18"/>
        <v>132000</v>
      </c>
      <c r="H27" s="10">
        <f t="shared" si="18"/>
        <v>172000</v>
      </c>
      <c r="I27" s="348">
        <f t="shared" si="18"/>
        <v>224000</v>
      </c>
      <c r="J27" s="10">
        <f t="shared" si="18"/>
        <v>292000</v>
      </c>
      <c r="K27" s="10">
        <f t="shared" si="18"/>
        <v>408000</v>
      </c>
      <c r="L27" s="169">
        <f t="shared" si="18"/>
        <v>576000</v>
      </c>
      <c r="M27" s="169">
        <f t="shared" si="18"/>
        <v>804000</v>
      </c>
      <c r="N27" s="169">
        <f t="shared" ref="N27:O27" si="19">ROUNDDOWN(N19*$P$27,-3)</f>
        <v>1208000</v>
      </c>
      <c r="O27" s="169">
        <f t="shared" si="19"/>
        <v>1812000</v>
      </c>
      <c r="P27" s="101">
        <v>0.4</v>
      </c>
    </row>
    <row r="28" spans="1:17" ht="18" customHeight="1" x14ac:dyDescent="0.25">
      <c r="A28" s="67">
        <v>2</v>
      </c>
      <c r="B28" s="84" t="s">
        <v>47</v>
      </c>
      <c r="C28" s="69"/>
      <c r="D28" s="70"/>
      <c r="E28" s="67" t="s">
        <v>37</v>
      </c>
      <c r="F28" s="10">
        <f t="shared" ref="F28:M28" si="20">ROUNDDOWN(F19*$P$28,-3)</f>
        <v>62000</v>
      </c>
      <c r="G28" s="10">
        <f t="shared" si="20"/>
        <v>82000</v>
      </c>
      <c r="H28" s="10">
        <f t="shared" si="20"/>
        <v>107000</v>
      </c>
      <c r="I28" s="348">
        <f t="shared" si="20"/>
        <v>140000</v>
      </c>
      <c r="J28" s="10">
        <f t="shared" si="20"/>
        <v>182000</v>
      </c>
      <c r="K28" s="10">
        <f t="shared" si="20"/>
        <v>255000</v>
      </c>
      <c r="L28" s="169">
        <f t="shared" si="20"/>
        <v>360000</v>
      </c>
      <c r="M28" s="169">
        <f t="shared" si="20"/>
        <v>502000</v>
      </c>
      <c r="N28" s="169">
        <f t="shared" ref="N28:O28" si="21">ROUNDDOWN(N19*$P$28,-3)</f>
        <v>755000</v>
      </c>
      <c r="O28" s="169">
        <f t="shared" si="21"/>
        <v>1132000</v>
      </c>
      <c r="P28" s="101">
        <v>0.25</v>
      </c>
    </row>
    <row r="29" spans="1:17" ht="18" customHeight="1" x14ac:dyDescent="0.25">
      <c r="A29" s="67">
        <v>3</v>
      </c>
      <c r="B29" s="68" t="s">
        <v>231</v>
      </c>
      <c r="C29" s="69"/>
      <c r="D29" s="70"/>
      <c r="E29" s="67">
        <v>1</v>
      </c>
      <c r="F29" s="10">
        <f t="shared" ref="F29:M29" si="22">ROUNDDOWN(F19*$P$29,-3)</f>
        <v>100000</v>
      </c>
      <c r="G29" s="10">
        <f t="shared" si="22"/>
        <v>132000</v>
      </c>
      <c r="H29" s="10">
        <f t="shared" si="22"/>
        <v>172000</v>
      </c>
      <c r="I29" s="348">
        <f t="shared" si="22"/>
        <v>224000</v>
      </c>
      <c r="J29" s="10">
        <f t="shared" si="22"/>
        <v>292000</v>
      </c>
      <c r="K29" s="10">
        <f t="shared" si="22"/>
        <v>408000</v>
      </c>
      <c r="L29" s="169">
        <f t="shared" si="22"/>
        <v>576000</v>
      </c>
      <c r="M29" s="169">
        <f t="shared" si="22"/>
        <v>804000</v>
      </c>
      <c r="N29" s="169">
        <f t="shared" ref="N29:O29" si="23">ROUNDDOWN(N19*$P$29,-3)</f>
        <v>1208000</v>
      </c>
      <c r="O29" s="169">
        <f t="shared" si="23"/>
        <v>1812000</v>
      </c>
      <c r="P29" s="101">
        <v>0.4</v>
      </c>
    </row>
    <row r="30" spans="1:17" ht="18" customHeight="1" x14ac:dyDescent="0.25">
      <c r="A30" s="67">
        <v>5</v>
      </c>
      <c r="B30" s="217" t="s">
        <v>57</v>
      </c>
      <c r="C30" s="216"/>
      <c r="D30" s="218"/>
      <c r="E30" s="67" t="s">
        <v>37</v>
      </c>
      <c r="F30" s="300">
        <f>ROUNDDOWN(0.29*$L$4,-3)</f>
        <v>67000</v>
      </c>
      <c r="G30" s="300">
        <f t="shared" ref="G30:O30" si="24">ROUNDDOWN(0.29*$L$4,-3)</f>
        <v>67000</v>
      </c>
      <c r="H30" s="300">
        <f t="shared" si="24"/>
        <v>67000</v>
      </c>
      <c r="I30" s="354">
        <f t="shared" si="24"/>
        <v>67000</v>
      </c>
      <c r="J30" s="300">
        <f t="shared" si="24"/>
        <v>67000</v>
      </c>
      <c r="K30" s="300">
        <f t="shared" si="24"/>
        <v>67000</v>
      </c>
      <c r="L30" s="300">
        <f t="shared" si="24"/>
        <v>67000</v>
      </c>
      <c r="M30" s="300">
        <f t="shared" si="24"/>
        <v>67000</v>
      </c>
      <c r="N30" s="300">
        <f t="shared" si="24"/>
        <v>67000</v>
      </c>
      <c r="O30" s="300">
        <f t="shared" si="24"/>
        <v>67000</v>
      </c>
      <c r="P30" s="101" t="s">
        <v>235</v>
      </c>
    </row>
    <row r="31" spans="1:17" s="53" customFormat="1" ht="18" customHeight="1" x14ac:dyDescent="0.25">
      <c r="A31" s="112"/>
      <c r="B31" s="102" t="s">
        <v>48</v>
      </c>
      <c r="C31" s="103"/>
      <c r="D31" s="104"/>
      <c r="E31" s="79"/>
      <c r="F31" s="81">
        <f t="shared" ref="F31:K31" si="25">SUM(F27:F30)</f>
        <v>329000</v>
      </c>
      <c r="G31" s="81">
        <f t="shared" si="25"/>
        <v>413000</v>
      </c>
      <c r="H31" s="81">
        <f t="shared" si="25"/>
        <v>518000</v>
      </c>
      <c r="I31" s="355">
        <f t="shared" si="25"/>
        <v>655000</v>
      </c>
      <c r="J31" s="81">
        <f t="shared" si="25"/>
        <v>833000</v>
      </c>
      <c r="K31" s="121">
        <f t="shared" si="25"/>
        <v>1138000</v>
      </c>
      <c r="L31" s="121">
        <f>SUM(L27:L30)</f>
        <v>1579000</v>
      </c>
      <c r="M31" s="121">
        <f>SUM(M27:M30)</f>
        <v>2177000</v>
      </c>
      <c r="N31" s="121">
        <f>SUM(N27:N30)</f>
        <v>3238000</v>
      </c>
      <c r="O31" s="121">
        <f>SUM(O27:O30)</f>
        <v>4823000</v>
      </c>
      <c r="P31" s="77"/>
    </row>
    <row r="32" spans="1:17" s="53" customFormat="1" ht="18" customHeight="1" x14ac:dyDescent="0.25">
      <c r="A32" s="81"/>
      <c r="B32" s="77" t="s">
        <v>49</v>
      </c>
      <c r="C32" s="77"/>
      <c r="D32" s="77"/>
      <c r="E32" s="79"/>
      <c r="F32" s="87">
        <f>F15+F24+F31</f>
        <v>1222000</v>
      </c>
      <c r="G32" s="87">
        <f t="shared" ref="G32:M32" si="26">G15+G24+G31</f>
        <v>1593000</v>
      </c>
      <c r="H32" s="87">
        <f t="shared" si="26"/>
        <v>2055000</v>
      </c>
      <c r="I32" s="356">
        <f t="shared" si="26"/>
        <v>2658000</v>
      </c>
      <c r="J32" s="87">
        <f t="shared" si="26"/>
        <v>3445000</v>
      </c>
      <c r="K32" s="87">
        <f t="shared" si="26"/>
        <v>4789000</v>
      </c>
      <c r="L32" s="172">
        <f t="shared" si="26"/>
        <v>6733000</v>
      </c>
      <c r="M32" s="172">
        <f t="shared" si="26"/>
        <v>9371000</v>
      </c>
      <c r="N32" s="172">
        <f t="shared" ref="N32:O32" si="27">N15+N24+N31</f>
        <v>14049000</v>
      </c>
      <c r="O32" s="172">
        <f t="shared" si="27"/>
        <v>21039000</v>
      </c>
      <c r="P32" s="77"/>
    </row>
    <row r="33" spans="1:12" ht="18" customHeight="1" x14ac:dyDescent="0.25">
      <c r="A33" s="88" t="s">
        <v>50</v>
      </c>
      <c r="B33" s="2"/>
      <c r="C33" s="2"/>
      <c r="D33" s="2"/>
      <c r="E33" s="2"/>
      <c r="F33" s="122"/>
      <c r="G33" s="2"/>
      <c r="H33" s="2"/>
      <c r="I33" s="357"/>
      <c r="J33" s="2"/>
      <c r="K33" s="2"/>
      <c r="L33" s="2"/>
    </row>
    <row r="34" spans="1:12" ht="18" customHeight="1" x14ac:dyDescent="0.25">
      <c r="A34" s="88"/>
      <c r="B34" s="2" t="s">
        <v>272</v>
      </c>
      <c r="C34" s="2"/>
      <c r="D34" s="2"/>
      <c r="E34" s="2"/>
      <c r="F34" s="122"/>
      <c r="G34" s="2"/>
      <c r="H34" s="2"/>
      <c r="I34" s="357"/>
      <c r="J34" s="2"/>
      <c r="K34" s="2"/>
      <c r="L34" s="143">
        <f>2340000*0.86</f>
        <v>2012400</v>
      </c>
    </row>
    <row r="35" spans="1:12" ht="18" customHeight="1" x14ac:dyDescent="0.25">
      <c r="A35" s="88"/>
      <c r="B35" s="2" t="s">
        <v>271</v>
      </c>
      <c r="C35" s="2"/>
      <c r="D35" s="2"/>
      <c r="E35" s="2"/>
      <c r="F35" s="122"/>
      <c r="G35" s="2"/>
      <c r="H35" s="2"/>
      <c r="I35" s="357"/>
      <c r="J35" s="2"/>
      <c r="K35" s="2"/>
      <c r="L35" s="143"/>
    </row>
    <row r="36" spans="1:12" s="13" customFormat="1" ht="18" customHeight="1" x14ac:dyDescent="0.25">
      <c r="A36" s="115"/>
      <c r="B36" s="13" t="s">
        <v>51</v>
      </c>
      <c r="C36" s="115"/>
      <c r="D36" s="115"/>
      <c r="E36" s="115"/>
      <c r="F36" s="115"/>
      <c r="G36" s="115"/>
      <c r="H36" s="115"/>
      <c r="I36" s="358"/>
      <c r="J36" s="115"/>
      <c r="K36" s="115"/>
      <c r="L36" s="362">
        <f>(2340000*3.99)/22*0.86</f>
        <v>364976.18181818182</v>
      </c>
    </row>
    <row r="37" spans="1:12" s="13" customFormat="1" ht="18" customHeight="1" x14ac:dyDescent="0.25">
      <c r="A37" s="115"/>
      <c r="B37" s="13" t="s">
        <v>52</v>
      </c>
      <c r="C37" s="115"/>
      <c r="D37" s="115"/>
      <c r="E37" s="115"/>
      <c r="F37" s="115"/>
      <c r="G37" s="115"/>
      <c r="H37" s="115"/>
      <c r="I37" s="358"/>
      <c r="J37" s="115"/>
      <c r="K37" s="115"/>
      <c r="L37" s="362">
        <f>2340000*0.86</f>
        <v>2012400</v>
      </c>
    </row>
    <row r="38" spans="1:12" s="13" customFormat="1" ht="18" customHeight="1" x14ac:dyDescent="0.25">
      <c r="A38" s="115"/>
      <c r="B38" s="13" t="s">
        <v>53</v>
      </c>
      <c r="C38" s="115"/>
      <c r="D38" s="115"/>
      <c r="E38" s="115"/>
      <c r="F38" s="115"/>
      <c r="G38" s="115"/>
      <c r="H38" s="115"/>
      <c r="I38" s="358"/>
      <c r="J38" s="115"/>
      <c r="K38" s="115"/>
      <c r="L38" s="115"/>
    </row>
    <row r="39" spans="1:12" s="13" customFormat="1" ht="18" customHeight="1" x14ac:dyDescent="0.25">
      <c r="A39" s="115"/>
      <c r="B39" s="13" t="s">
        <v>99</v>
      </c>
      <c r="C39" s="115"/>
      <c r="D39" s="115"/>
      <c r="E39" s="115"/>
      <c r="F39" s="115"/>
      <c r="G39" s="115"/>
      <c r="H39" s="115"/>
      <c r="I39" s="358"/>
      <c r="J39" s="115"/>
      <c r="K39" s="115"/>
      <c r="L39" s="115"/>
    </row>
    <row r="40" spans="1:12" s="13" customFormat="1" ht="18" customHeight="1" x14ac:dyDescent="0.25">
      <c r="A40" s="116"/>
      <c r="B40" s="13" t="s">
        <v>58</v>
      </c>
      <c r="C40" s="115"/>
      <c r="D40" s="115"/>
      <c r="E40" s="115"/>
      <c r="F40" s="115"/>
      <c r="G40" s="115"/>
      <c r="H40" s="115"/>
      <c r="I40" s="358"/>
      <c r="J40" s="115"/>
      <c r="K40" s="115"/>
      <c r="L40" s="115"/>
    </row>
    <row r="41" spans="1:12" s="13" customFormat="1" ht="18" customHeight="1" x14ac:dyDescent="0.25">
      <c r="A41" s="115"/>
      <c r="B41" s="13" t="s">
        <v>59</v>
      </c>
      <c r="C41" s="115"/>
      <c r="D41" s="115"/>
      <c r="E41" s="115"/>
      <c r="F41" s="115"/>
      <c r="G41" s="115"/>
      <c r="H41" s="115"/>
      <c r="I41" s="358"/>
      <c r="J41" s="115"/>
      <c r="K41" s="115"/>
      <c r="L41" s="115"/>
    </row>
    <row r="42" spans="1:12" ht="18" customHeight="1" x14ac:dyDescent="0.25"/>
    <row r="43" spans="1:12" ht="18" customHeight="1" x14ac:dyDescent="0.25"/>
    <row r="44" spans="1:12" ht="18" customHeight="1" x14ac:dyDescent="0.25"/>
    <row r="45" spans="1:12" ht="18" customHeight="1" x14ac:dyDescent="0.25"/>
    <row r="46" spans="1:12" ht="18" customHeight="1" x14ac:dyDescent="0.25"/>
    <row r="47" spans="1:12" ht="18" customHeight="1" x14ac:dyDescent="0.25"/>
    <row r="48" spans="1:12" ht="18" customHeight="1" x14ac:dyDescent="0.25"/>
    <row r="49" ht="18" customHeight="1" x14ac:dyDescent="0.25"/>
    <row r="50" ht="18" customHeight="1" x14ac:dyDescent="0.25"/>
    <row r="52" ht="18" customHeight="1" x14ac:dyDescent="0.25"/>
    <row r="53" ht="18" customHeight="1" x14ac:dyDescent="0.25"/>
    <row r="54" ht="18" customHeight="1" x14ac:dyDescent="0.25"/>
    <row r="55" ht="18" customHeight="1" x14ac:dyDescent="0.25"/>
    <row r="56" ht="18" customHeight="1" x14ac:dyDescent="0.25"/>
    <row r="57" ht="31.5"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sheetData>
  <mergeCells count="3">
    <mergeCell ref="A6:E7"/>
    <mergeCell ref="P6:P7"/>
    <mergeCell ref="Q20:Q21"/>
  </mergeCells>
  <phoneticPr fontId="36" type="noConversion"/>
  <pageMargins left="0.46" right="0.31" top="0.74803149606299213" bottom="0.54" header="0.31496062992125984" footer="0.31496062992125984"/>
  <pageSetup paperSize="9" scale="75" orientation="landscape"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8"/>
  <sheetViews>
    <sheetView tabSelected="1" zoomScale="148" zoomScaleNormal="148" workbookViewId="0">
      <selection activeCell="A13" sqref="A13"/>
    </sheetView>
  </sheetViews>
  <sheetFormatPr defaultColWidth="9.140625" defaultRowHeight="16.5" x14ac:dyDescent="0.25"/>
  <cols>
    <col min="1" max="1" width="31.140625" style="18" customWidth="1"/>
    <col min="2" max="2" width="13.85546875" style="18" customWidth="1"/>
    <col min="3" max="4" width="14.5703125" style="18" customWidth="1"/>
    <col min="5" max="7" width="14.7109375" style="18" customWidth="1"/>
    <col min="8" max="8" width="15" style="18" customWidth="1"/>
    <col min="9" max="9" width="16" style="18" customWidth="1"/>
    <col min="10" max="10" width="15.140625" style="19" customWidth="1"/>
    <col min="11" max="11" width="15.140625" style="18" customWidth="1"/>
    <col min="12" max="13" width="13.28515625" style="18" customWidth="1"/>
    <col min="14" max="14" width="17.140625" style="18" customWidth="1"/>
    <col min="15" max="16384" width="9.140625" style="18"/>
  </cols>
  <sheetData>
    <row r="1" spans="1:14" x14ac:dyDescent="0.25">
      <c r="A1" s="18" t="s">
        <v>12</v>
      </c>
    </row>
    <row r="2" spans="1:14" s="20" customFormat="1" x14ac:dyDescent="0.25">
      <c r="A2" s="20" t="s">
        <v>105</v>
      </c>
      <c r="J2" s="21"/>
    </row>
    <row r="3" spans="1:14" s="20" customFormat="1" x14ac:dyDescent="0.25">
      <c r="A3" s="365" t="s">
        <v>246</v>
      </c>
      <c r="F3" s="22"/>
      <c r="G3" s="22"/>
      <c r="H3" s="22"/>
      <c r="I3" s="22"/>
      <c r="J3" s="23"/>
    </row>
    <row r="4" spans="1:14" s="20" customFormat="1" x14ac:dyDescent="0.25">
      <c r="A4" s="365" t="s">
        <v>289</v>
      </c>
      <c r="H4" s="383" t="s">
        <v>23</v>
      </c>
      <c r="I4" s="383"/>
      <c r="J4" s="24">
        <v>234000</v>
      </c>
      <c r="K4" s="20" t="s">
        <v>22</v>
      </c>
    </row>
    <row r="5" spans="1:14" s="20" customFormat="1" x14ac:dyDescent="0.25"/>
    <row r="6" spans="1:14" s="20" customFormat="1" x14ac:dyDescent="0.25">
      <c r="A6" s="390" t="s">
        <v>20</v>
      </c>
      <c r="B6" s="8" t="s">
        <v>1</v>
      </c>
      <c r="C6" s="8" t="s">
        <v>2</v>
      </c>
      <c r="D6" s="8" t="s">
        <v>3</v>
      </c>
      <c r="E6" s="8" t="s">
        <v>4</v>
      </c>
      <c r="F6" s="8" t="s">
        <v>5</v>
      </c>
      <c r="G6" s="367" t="s">
        <v>16</v>
      </c>
      <c r="H6" s="367" t="s">
        <v>17</v>
      </c>
      <c r="I6" s="367" t="s">
        <v>18</v>
      </c>
      <c r="J6" s="8" t="s">
        <v>253</v>
      </c>
      <c r="K6" s="8" t="s">
        <v>254</v>
      </c>
      <c r="L6" s="401" t="s">
        <v>250</v>
      </c>
    </row>
    <row r="7" spans="1:14" s="25" customFormat="1" ht="21.75" customHeight="1" x14ac:dyDescent="0.25">
      <c r="A7" s="391"/>
      <c r="B7" s="168">
        <v>5</v>
      </c>
      <c r="C7" s="12">
        <f>B7*1.3</f>
        <v>6.5</v>
      </c>
      <c r="D7" s="12">
        <f>C7*1.3</f>
        <v>8.4500000000000011</v>
      </c>
      <c r="E7" s="12">
        <f>D7*1.3</f>
        <v>10.985000000000001</v>
      </c>
      <c r="F7" s="12">
        <f>E7*1.3</f>
        <v>14.280500000000002</v>
      </c>
      <c r="G7" s="368">
        <f>F7*1.4</f>
        <v>19.992700000000003</v>
      </c>
      <c r="H7" s="368">
        <f>G7*1.4</f>
        <v>27.989780000000003</v>
      </c>
      <c r="I7" s="368">
        <f>H7*1.4</f>
        <v>39.185692000000003</v>
      </c>
      <c r="J7" s="12">
        <f>I7*1.5</f>
        <v>58.778538000000005</v>
      </c>
      <c r="K7" s="12">
        <f>J7*1.5</f>
        <v>88.16780700000001</v>
      </c>
      <c r="L7" s="402"/>
    </row>
    <row r="8" spans="1:14" ht="18" customHeight="1" x14ac:dyDescent="0.25">
      <c r="A8" s="26" t="s">
        <v>8</v>
      </c>
      <c r="B8" s="27">
        <f t="shared" ref="B8:I8" si="0">ROUNDDOWN(B10*$L$8,-3)</f>
        <v>608000</v>
      </c>
      <c r="C8" s="27">
        <f t="shared" si="0"/>
        <v>790000</v>
      </c>
      <c r="D8" s="27">
        <f t="shared" si="0"/>
        <v>1028000</v>
      </c>
      <c r="E8" s="27">
        <f t="shared" si="0"/>
        <v>1336000</v>
      </c>
      <c r="F8" s="27">
        <f t="shared" si="0"/>
        <v>1737000</v>
      </c>
      <c r="G8" s="27">
        <f t="shared" si="0"/>
        <v>2432000</v>
      </c>
      <c r="H8" s="27">
        <f t="shared" si="0"/>
        <v>3405000</v>
      </c>
      <c r="I8" s="27">
        <f t="shared" si="0"/>
        <v>4767000</v>
      </c>
      <c r="J8" s="27">
        <f t="shared" ref="J8:K8" si="1">ROUNDDOWN(J10*$L$8,-3)</f>
        <v>7152000</v>
      </c>
      <c r="K8" s="27">
        <f t="shared" si="1"/>
        <v>10728000</v>
      </c>
      <c r="L8" s="258">
        <v>0.52</v>
      </c>
    </row>
    <row r="9" spans="1:14" ht="18" customHeight="1" x14ac:dyDescent="0.25">
      <c r="A9" s="26" t="s">
        <v>11</v>
      </c>
      <c r="B9" s="27">
        <f t="shared" ref="B9:I9" si="2">ROUNDDOWN(B10*$L$9,-3)</f>
        <v>468000</v>
      </c>
      <c r="C9" s="27">
        <f t="shared" si="2"/>
        <v>608000</v>
      </c>
      <c r="D9" s="27">
        <f t="shared" si="2"/>
        <v>790000</v>
      </c>
      <c r="E9" s="27">
        <f t="shared" si="2"/>
        <v>1028000</v>
      </c>
      <c r="F9" s="27">
        <f t="shared" si="2"/>
        <v>1336000</v>
      </c>
      <c r="G9" s="27">
        <f t="shared" si="2"/>
        <v>1871000</v>
      </c>
      <c r="H9" s="27">
        <f t="shared" si="2"/>
        <v>2619000</v>
      </c>
      <c r="I9" s="27">
        <f t="shared" si="2"/>
        <v>3667000</v>
      </c>
      <c r="J9" s="27">
        <f t="shared" ref="J9:K9" si="3">ROUNDDOWN(J10*$L$9,-3)</f>
        <v>5501000</v>
      </c>
      <c r="K9" s="27">
        <f t="shared" si="3"/>
        <v>8252000</v>
      </c>
      <c r="L9" s="258">
        <v>0.4</v>
      </c>
    </row>
    <row r="10" spans="1:14" ht="18" customHeight="1" x14ac:dyDescent="0.25">
      <c r="A10" s="44" t="s">
        <v>19</v>
      </c>
      <c r="B10" s="167">
        <f>ROUNDDOWN(B7*$J$4,-3)</f>
        <v>1170000</v>
      </c>
      <c r="C10" s="167">
        <f>ROUNDDOWN(C7*$J$4,-3)</f>
        <v>1521000</v>
      </c>
      <c r="D10" s="167">
        <f>ROUNDDOWN(D7*$J$4,-3)</f>
        <v>1977000</v>
      </c>
      <c r="E10" s="167">
        <f t="shared" ref="E10:I10" si="4">ROUNDDOWN(E7*$J$4,-3)</f>
        <v>2570000</v>
      </c>
      <c r="F10" s="167">
        <f t="shared" si="4"/>
        <v>3341000</v>
      </c>
      <c r="G10" s="167">
        <f t="shared" si="4"/>
        <v>4678000</v>
      </c>
      <c r="H10" s="167">
        <f t="shared" si="4"/>
        <v>6549000</v>
      </c>
      <c r="I10" s="167">
        <f t="shared" si="4"/>
        <v>9169000</v>
      </c>
      <c r="J10" s="167">
        <f t="shared" ref="J10:K10" si="5">ROUNDDOWN(J7*$J$4,-3)</f>
        <v>13754000</v>
      </c>
      <c r="K10" s="167">
        <f t="shared" si="5"/>
        <v>20631000</v>
      </c>
      <c r="L10" s="306">
        <v>1</v>
      </c>
      <c r="M10" s="18" t="s">
        <v>249</v>
      </c>
      <c r="N10" s="18" t="s">
        <v>222</v>
      </c>
    </row>
    <row r="11" spans="1:14" s="422" customFormat="1" ht="18" customHeight="1" x14ac:dyDescent="0.25">
      <c r="A11" s="420" t="s">
        <v>290</v>
      </c>
      <c r="B11" s="231"/>
      <c r="C11" s="231"/>
      <c r="D11" s="231"/>
      <c r="E11" s="231"/>
      <c r="F11" s="231"/>
      <c r="G11" s="231"/>
      <c r="H11" s="231"/>
      <c r="I11" s="231"/>
      <c r="J11" s="231"/>
      <c r="K11" s="231"/>
      <c r="L11" s="421"/>
    </row>
    <row r="12" spans="1:14" ht="49.5" x14ac:dyDescent="0.25">
      <c r="A12" s="226" t="s">
        <v>273</v>
      </c>
      <c r="B12" s="366">
        <f t="shared" ref="B12:I12" si="6">ROUNDDOWN(B10*$L$12,-3)</f>
        <v>1404000</v>
      </c>
      <c r="C12" s="366">
        <f t="shared" si="6"/>
        <v>1825000</v>
      </c>
      <c r="D12" s="366">
        <f t="shared" si="6"/>
        <v>2372000</v>
      </c>
      <c r="E12" s="366">
        <f t="shared" si="6"/>
        <v>3084000</v>
      </c>
      <c r="F12" s="366">
        <f t="shared" si="6"/>
        <v>4009000</v>
      </c>
      <c r="G12" s="366">
        <f t="shared" si="6"/>
        <v>5613000</v>
      </c>
      <c r="H12" s="366">
        <f t="shared" si="6"/>
        <v>7858000</v>
      </c>
      <c r="I12" s="366">
        <f t="shared" si="6"/>
        <v>11002000</v>
      </c>
      <c r="J12" s="366">
        <f t="shared" ref="J12:K12" si="7">ROUNDDOWN(J10*$L$12,-3)</f>
        <v>16504000</v>
      </c>
      <c r="K12" s="366">
        <f t="shared" si="7"/>
        <v>24757000</v>
      </c>
      <c r="L12" s="307">
        <v>1.2</v>
      </c>
      <c r="M12" s="255" t="s">
        <v>202</v>
      </c>
    </row>
    <row r="13" spans="1:14" ht="18" customHeight="1" x14ac:dyDescent="0.25">
      <c r="A13" s="26" t="s">
        <v>291</v>
      </c>
      <c r="B13" s="27">
        <f t="shared" ref="B13:I13" si="8">ROUNDDOWN(B10*$L$13,-3)</f>
        <v>292000</v>
      </c>
      <c r="C13" s="27">
        <f t="shared" si="8"/>
        <v>380000</v>
      </c>
      <c r="D13" s="27">
        <f t="shared" si="8"/>
        <v>494000</v>
      </c>
      <c r="E13" s="27">
        <f t="shared" si="8"/>
        <v>642000</v>
      </c>
      <c r="F13" s="27">
        <f t="shared" si="8"/>
        <v>835000</v>
      </c>
      <c r="G13" s="27">
        <f t="shared" si="8"/>
        <v>1169000</v>
      </c>
      <c r="H13" s="27">
        <f t="shared" si="8"/>
        <v>1637000</v>
      </c>
      <c r="I13" s="27">
        <f t="shared" si="8"/>
        <v>2292000</v>
      </c>
      <c r="J13" s="27">
        <f t="shared" ref="J13:K13" si="9">ROUNDDOWN(J10*$L$13,-3)</f>
        <v>3438000</v>
      </c>
      <c r="K13" s="27">
        <f t="shared" si="9"/>
        <v>5157000</v>
      </c>
      <c r="L13" s="258">
        <v>0.25</v>
      </c>
    </row>
    <row r="14" spans="1:14" s="20" customFormat="1" ht="21.75" customHeight="1" x14ac:dyDescent="0.25">
      <c r="A14" s="266" t="s">
        <v>24</v>
      </c>
      <c r="B14" s="200">
        <f t="shared" ref="B14:I14" si="10">SUM(B8:B13)</f>
        <v>3942000</v>
      </c>
      <c r="C14" s="200">
        <f t="shared" si="10"/>
        <v>5124000</v>
      </c>
      <c r="D14" s="200">
        <f t="shared" si="10"/>
        <v>6661000</v>
      </c>
      <c r="E14" s="200">
        <f t="shared" si="10"/>
        <v>8660000</v>
      </c>
      <c r="F14" s="200">
        <f t="shared" si="10"/>
        <v>11258000</v>
      </c>
      <c r="G14" s="200">
        <f t="shared" si="10"/>
        <v>15763000</v>
      </c>
      <c r="H14" s="200">
        <f t="shared" si="10"/>
        <v>22068000</v>
      </c>
      <c r="I14" s="200">
        <f t="shared" si="10"/>
        <v>30897000</v>
      </c>
      <c r="J14" s="200">
        <f t="shared" ref="J14:K14" si="11">SUM(J8:J13)</f>
        <v>46349000</v>
      </c>
      <c r="K14" s="200">
        <f t="shared" si="11"/>
        <v>69525000</v>
      </c>
      <c r="L14" s="43"/>
      <c r="M14" s="18" t="s">
        <v>248</v>
      </c>
      <c r="N14" s="18"/>
    </row>
    <row r="15" spans="1:14" x14ac:dyDescent="0.25">
      <c r="L15" s="19"/>
      <c r="M15" s="18" t="s">
        <v>247</v>
      </c>
      <c r="N15" s="179">
        <f>(2340000*4)/22*1.1</f>
        <v>468000.00000000006</v>
      </c>
    </row>
    <row r="16" spans="1:14" x14ac:dyDescent="0.25">
      <c r="A16" s="18" t="s">
        <v>107</v>
      </c>
    </row>
    <row r="17" spans="5:5" x14ac:dyDescent="0.25">
      <c r="E17" s="250"/>
    </row>
    <row r="18" spans="5:5" x14ac:dyDescent="0.25">
      <c r="E18" s="250"/>
    </row>
  </sheetData>
  <mergeCells count="3">
    <mergeCell ref="L6:L7"/>
    <mergeCell ref="H4:I4"/>
    <mergeCell ref="A6:A7"/>
  </mergeCells>
  <pageMargins left="0.70866141732283472" right="0.70866141732283472" top="0.39" bottom="0.23" header="0.31496062992125984" footer="0.2"/>
  <pageSetup paperSize="9" scale="75"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workbookViewId="0">
      <selection activeCell="E6" sqref="E6"/>
    </sheetView>
  </sheetViews>
  <sheetFormatPr defaultColWidth="9.140625" defaultRowHeight="18.75" x14ac:dyDescent="0.3"/>
  <cols>
    <col min="1" max="1" width="9.140625" style="237"/>
    <col min="2" max="2" width="42.85546875" style="237" customWidth="1"/>
    <col min="3" max="3" width="13.42578125" style="237" customWidth="1"/>
    <col min="4" max="5" width="16.140625" style="237" customWidth="1"/>
    <col min="6" max="6" width="18.140625" style="237" customWidth="1"/>
    <col min="7" max="16384" width="9.140625" style="237"/>
  </cols>
  <sheetData>
    <row r="1" spans="1:6" x14ac:dyDescent="0.3">
      <c r="B1" s="235" t="s">
        <v>136</v>
      </c>
      <c r="C1" s="234"/>
    </row>
    <row r="3" spans="1:6" x14ac:dyDescent="0.3">
      <c r="A3" s="233" t="s">
        <v>137</v>
      </c>
    </row>
    <row r="4" spans="1:6" ht="53.25" customHeight="1" x14ac:dyDescent="0.3">
      <c r="A4" s="3" t="s">
        <v>14</v>
      </c>
      <c r="B4" s="3" t="s">
        <v>138</v>
      </c>
      <c r="C4" s="3" t="s">
        <v>139</v>
      </c>
      <c r="D4" s="3" t="s">
        <v>140</v>
      </c>
      <c r="E4" s="3" t="s">
        <v>206</v>
      </c>
      <c r="F4" s="3" t="s">
        <v>21</v>
      </c>
    </row>
    <row r="5" spans="1:6" ht="57" customHeight="1" x14ac:dyDescent="0.3">
      <c r="A5" s="4">
        <v>1</v>
      </c>
      <c r="B5" s="5" t="s">
        <v>141</v>
      </c>
      <c r="C5" s="4">
        <v>2</v>
      </c>
      <c r="D5" s="4" t="s">
        <v>124</v>
      </c>
      <c r="E5" s="4" t="s">
        <v>207</v>
      </c>
      <c r="F5" s="238"/>
    </row>
    <row r="6" spans="1:6" ht="54" customHeight="1" x14ac:dyDescent="0.3">
      <c r="A6" s="4">
        <v>2</v>
      </c>
      <c r="B6" s="5" t="s">
        <v>142</v>
      </c>
      <c r="C6" s="4">
        <v>3</v>
      </c>
      <c r="D6" s="238" t="s">
        <v>125</v>
      </c>
      <c r="E6" s="238"/>
      <c r="F6" s="238"/>
    </row>
    <row r="8" spans="1:6" x14ac:dyDescent="0.3">
      <c r="A8" s="233" t="s">
        <v>143</v>
      </c>
    </row>
    <row r="10" spans="1:6" ht="55.5" customHeight="1" x14ac:dyDescent="0.3">
      <c r="A10" s="3" t="s">
        <v>14</v>
      </c>
      <c r="B10" s="3" t="s">
        <v>138</v>
      </c>
      <c r="C10" s="3" t="s">
        <v>139</v>
      </c>
      <c r="D10" s="3" t="s">
        <v>140</v>
      </c>
      <c r="E10" s="3"/>
      <c r="F10" s="3" t="s">
        <v>21</v>
      </c>
    </row>
    <row r="11" spans="1:6" ht="36.75" customHeight="1" x14ac:dyDescent="0.3">
      <c r="A11" s="4">
        <v>1</v>
      </c>
      <c r="B11" s="5" t="s">
        <v>144</v>
      </c>
      <c r="C11" s="245">
        <v>2</v>
      </c>
      <c r="D11" s="4" t="s">
        <v>124</v>
      </c>
      <c r="E11" s="4"/>
      <c r="F11" s="238"/>
    </row>
    <row r="12" spans="1:6" ht="42" customHeight="1" x14ac:dyDescent="0.3">
      <c r="A12" s="4">
        <v>2</v>
      </c>
      <c r="B12" s="5" t="s">
        <v>145</v>
      </c>
      <c r="C12" s="4">
        <v>1</v>
      </c>
      <c r="D12" s="4" t="s">
        <v>126</v>
      </c>
      <c r="E12" s="4"/>
      <c r="F12" s="238"/>
    </row>
    <row r="13" spans="1:6" ht="36.75" customHeight="1" x14ac:dyDescent="0.3">
      <c r="A13" s="4">
        <v>3</v>
      </c>
      <c r="B13" s="5" t="s">
        <v>146</v>
      </c>
      <c r="C13" s="4">
        <v>1</v>
      </c>
      <c r="D13" s="4" t="s">
        <v>126</v>
      </c>
      <c r="E13" s="4"/>
      <c r="F13" s="238"/>
    </row>
    <row r="14" spans="1:6" ht="60.75" customHeight="1" x14ac:dyDescent="0.3">
      <c r="A14" s="4">
        <v>4</v>
      </c>
      <c r="B14" s="5" t="s">
        <v>147</v>
      </c>
      <c r="C14" s="4">
        <v>1</v>
      </c>
      <c r="D14" s="4" t="s">
        <v>127</v>
      </c>
      <c r="E14" s="4"/>
      <c r="F14" s="244" t="s">
        <v>148</v>
      </c>
    </row>
    <row r="15" spans="1:6" ht="72" customHeight="1" x14ac:dyDescent="0.3">
      <c r="A15" s="4">
        <v>5</v>
      </c>
      <c r="B15" s="5" t="s">
        <v>149</v>
      </c>
      <c r="C15" s="4">
        <v>2</v>
      </c>
      <c r="D15" s="5" t="s">
        <v>128</v>
      </c>
      <c r="E15" s="5"/>
      <c r="F15" s="244" t="s">
        <v>148</v>
      </c>
    </row>
    <row r="16" spans="1:6" x14ac:dyDescent="0.3">
      <c r="A16" s="234"/>
    </row>
    <row r="17" spans="1:6" x14ac:dyDescent="0.3">
      <c r="A17" s="233"/>
    </row>
    <row r="18" spans="1:6" x14ac:dyDescent="0.3">
      <c r="A18" s="233" t="s">
        <v>150</v>
      </c>
    </row>
    <row r="19" spans="1:6" ht="56.25" x14ac:dyDescent="0.3">
      <c r="A19" s="3" t="s">
        <v>14</v>
      </c>
      <c r="B19" s="3" t="s">
        <v>138</v>
      </c>
      <c r="C19" s="3" t="s">
        <v>139</v>
      </c>
      <c r="D19" s="3" t="s">
        <v>140</v>
      </c>
      <c r="E19" s="3"/>
      <c r="F19" s="3" t="s">
        <v>21</v>
      </c>
    </row>
    <row r="20" spans="1:6" x14ac:dyDescent="0.3">
      <c r="A20" s="4">
        <v>1</v>
      </c>
      <c r="B20" s="5" t="s">
        <v>151</v>
      </c>
      <c r="C20" s="4">
        <v>3</v>
      </c>
      <c r="D20" s="4" t="s">
        <v>129</v>
      </c>
      <c r="E20" s="4"/>
      <c r="F20" s="238"/>
    </row>
    <row r="21" spans="1:6" x14ac:dyDescent="0.3">
      <c r="A21" s="4">
        <v>2</v>
      </c>
      <c r="B21" s="238" t="s">
        <v>152</v>
      </c>
      <c r="C21" s="4">
        <v>3</v>
      </c>
      <c r="D21" s="4" t="s">
        <v>129</v>
      </c>
      <c r="E21" s="4"/>
      <c r="F21" s="238"/>
    </row>
    <row r="22" spans="1:6" x14ac:dyDescent="0.3">
      <c r="A22" s="246"/>
      <c r="B22" s="247"/>
      <c r="C22" s="246"/>
      <c r="D22" s="246"/>
      <c r="E22" s="246"/>
      <c r="F22" s="247"/>
    </row>
    <row r="23" spans="1:6" x14ac:dyDescent="0.3">
      <c r="A23" s="233"/>
    </row>
    <row r="24" spans="1:6" x14ac:dyDescent="0.3">
      <c r="A24" s="233"/>
    </row>
    <row r="25" spans="1:6" x14ac:dyDescent="0.3">
      <c r="A25" s="233"/>
    </row>
    <row r="26" spans="1:6" x14ac:dyDescent="0.3">
      <c r="A26" s="233"/>
    </row>
    <row r="27" spans="1:6" x14ac:dyDescent="0.3">
      <c r="A27" s="233" t="s">
        <v>153</v>
      </c>
    </row>
    <row r="28" spans="1:6" ht="58.5" customHeight="1" x14ac:dyDescent="0.3">
      <c r="A28" s="3" t="s">
        <v>14</v>
      </c>
      <c r="B28" s="3" t="s">
        <v>138</v>
      </c>
      <c r="C28" s="3" t="s">
        <v>139</v>
      </c>
      <c r="D28" s="3" t="s">
        <v>140</v>
      </c>
      <c r="E28" s="3"/>
      <c r="F28" s="3" t="s">
        <v>21</v>
      </c>
    </row>
    <row r="29" spans="1:6" ht="44.25" customHeight="1" x14ac:dyDescent="0.3">
      <c r="A29" s="4">
        <v>1</v>
      </c>
      <c r="B29" s="5" t="s">
        <v>154</v>
      </c>
      <c r="C29" s="245">
        <v>2</v>
      </c>
      <c r="D29" s="4" t="s">
        <v>130</v>
      </c>
      <c r="E29" s="4"/>
      <c r="F29" s="238" t="s">
        <v>155</v>
      </c>
    </row>
    <row r="30" spans="1:6" ht="29.25" customHeight="1" x14ac:dyDescent="0.3">
      <c r="A30" s="4">
        <v>2</v>
      </c>
      <c r="B30" s="238" t="s">
        <v>156</v>
      </c>
      <c r="C30" s="4">
        <v>1</v>
      </c>
      <c r="D30" s="238" t="s">
        <v>126</v>
      </c>
      <c r="E30" s="238"/>
      <c r="F30" s="238"/>
    </row>
    <row r="31" spans="1:6" ht="29.25" customHeight="1" x14ac:dyDescent="0.3">
      <c r="A31" s="4">
        <v>3</v>
      </c>
      <c r="B31" s="238" t="s">
        <v>157</v>
      </c>
      <c r="C31" s="4">
        <v>1</v>
      </c>
      <c r="D31" s="238" t="s">
        <v>126</v>
      </c>
      <c r="E31" s="238"/>
      <c r="F31" s="238"/>
    </row>
    <row r="32" spans="1:6" ht="29.25" customHeight="1" x14ac:dyDescent="0.3">
      <c r="A32" s="4">
        <v>4</v>
      </c>
      <c r="B32" s="238" t="s">
        <v>158</v>
      </c>
      <c r="C32" s="4">
        <v>1</v>
      </c>
      <c r="D32" s="238" t="s">
        <v>126</v>
      </c>
      <c r="E32" s="238"/>
      <c r="F32" s="238"/>
    </row>
    <row r="33" spans="1:6" ht="29.25" customHeight="1" x14ac:dyDescent="0.3">
      <c r="A33" s="4">
        <v>5</v>
      </c>
      <c r="B33" s="5" t="s">
        <v>159</v>
      </c>
      <c r="C33" s="4">
        <v>1</v>
      </c>
      <c r="D33" s="238" t="s">
        <v>126</v>
      </c>
      <c r="E33" s="238"/>
      <c r="F33" s="238"/>
    </row>
    <row r="34" spans="1:6" ht="29.25" customHeight="1" x14ac:dyDescent="0.3">
      <c r="A34" s="4">
        <v>6</v>
      </c>
      <c r="B34" s="238" t="s">
        <v>160</v>
      </c>
      <c r="C34" s="4">
        <v>1</v>
      </c>
      <c r="D34" s="238" t="s">
        <v>126</v>
      </c>
      <c r="E34" s="238"/>
      <c r="F34" s="238"/>
    </row>
    <row r="35" spans="1:6" ht="29.25" customHeight="1" x14ac:dyDescent="0.3">
      <c r="A35" s="4">
        <v>7</v>
      </c>
      <c r="B35" s="238" t="s">
        <v>161</v>
      </c>
      <c r="C35" s="4">
        <v>1</v>
      </c>
      <c r="D35" s="238" t="s">
        <v>126</v>
      </c>
      <c r="E35" s="238"/>
      <c r="F35" s="238"/>
    </row>
    <row r="36" spans="1:6" ht="29.25" customHeight="1" x14ac:dyDescent="0.3">
      <c r="A36" s="4">
        <v>8</v>
      </c>
      <c r="B36" s="238" t="s">
        <v>162</v>
      </c>
      <c r="C36" s="4">
        <v>1</v>
      </c>
      <c r="D36" s="238" t="s">
        <v>126</v>
      </c>
      <c r="E36" s="238"/>
      <c r="F36" s="238"/>
    </row>
    <row r="37" spans="1:6" ht="29.25" customHeight="1" x14ac:dyDescent="0.3">
      <c r="A37" s="403">
        <v>9</v>
      </c>
      <c r="B37" s="404" t="s">
        <v>163</v>
      </c>
      <c r="C37" s="403">
        <v>1</v>
      </c>
      <c r="D37" s="405" t="s">
        <v>128</v>
      </c>
      <c r="E37" s="238"/>
      <c r="F37" s="405"/>
    </row>
    <row r="38" spans="1:6" ht="29.25" customHeight="1" x14ac:dyDescent="0.3">
      <c r="A38" s="403"/>
      <c r="B38" s="404"/>
      <c r="C38" s="403"/>
      <c r="D38" s="405"/>
      <c r="E38" s="238"/>
      <c r="F38" s="405"/>
    </row>
    <row r="39" spans="1:6" ht="29.25" customHeight="1" x14ac:dyDescent="0.3">
      <c r="A39" s="4">
        <v>10</v>
      </c>
      <c r="B39" s="238" t="s">
        <v>164</v>
      </c>
      <c r="C39" s="4">
        <v>1</v>
      </c>
      <c r="D39" s="238" t="s">
        <v>131</v>
      </c>
      <c r="E39" s="238"/>
      <c r="F39" s="238"/>
    </row>
    <row r="40" spans="1:6" ht="29.25" customHeight="1" x14ac:dyDescent="0.3">
      <c r="A40" s="4">
        <v>11</v>
      </c>
      <c r="B40" s="5" t="s">
        <v>165</v>
      </c>
      <c r="C40" s="4">
        <v>1</v>
      </c>
      <c r="D40" s="238" t="s">
        <v>131</v>
      </c>
      <c r="E40" s="238"/>
      <c r="F40" s="238"/>
    </row>
    <row r="41" spans="1:6" ht="29.25" customHeight="1" x14ac:dyDescent="0.3">
      <c r="A41" s="4">
        <v>12</v>
      </c>
      <c r="B41" s="238" t="s">
        <v>166</v>
      </c>
      <c r="C41" s="4">
        <v>1</v>
      </c>
      <c r="D41" s="238" t="s">
        <v>131</v>
      </c>
      <c r="E41" s="238"/>
      <c r="F41" s="238"/>
    </row>
    <row r="42" spans="1:6" ht="29.25" customHeight="1" x14ac:dyDescent="0.3">
      <c r="A42" s="4">
        <v>13</v>
      </c>
      <c r="B42" s="238" t="s">
        <v>167</v>
      </c>
      <c r="C42" s="4">
        <v>1</v>
      </c>
      <c r="D42" s="238" t="s">
        <v>131</v>
      </c>
      <c r="E42" s="238"/>
      <c r="F42" s="238"/>
    </row>
    <row r="43" spans="1:6" ht="29.25" customHeight="1" x14ac:dyDescent="0.3">
      <c r="A43" s="4">
        <v>14</v>
      </c>
      <c r="B43" s="238" t="s">
        <v>168</v>
      </c>
      <c r="C43" s="4">
        <v>1</v>
      </c>
      <c r="D43" s="238" t="s">
        <v>131</v>
      </c>
      <c r="E43" s="238"/>
      <c r="F43" s="238"/>
    </row>
    <row r="44" spans="1:6" ht="29.25" customHeight="1" x14ac:dyDescent="0.3">
      <c r="A44" s="4">
        <v>15</v>
      </c>
      <c r="B44" s="252" t="s">
        <v>169</v>
      </c>
      <c r="C44" s="253">
        <v>1</v>
      </c>
      <c r="D44" s="252" t="s">
        <v>131</v>
      </c>
      <c r="E44" s="252"/>
      <c r="F44" s="252" t="s">
        <v>170</v>
      </c>
    </row>
    <row r="45" spans="1:6" x14ac:dyDescent="0.3">
      <c r="A45" s="233"/>
    </row>
    <row r="46" spans="1:6" x14ac:dyDescent="0.3">
      <c r="A46" s="233"/>
    </row>
    <row r="47" spans="1:6" x14ac:dyDescent="0.3">
      <c r="A47" s="233" t="s">
        <v>171</v>
      </c>
    </row>
    <row r="48" spans="1:6" x14ac:dyDescent="0.3">
      <c r="A48" s="233" t="s">
        <v>192</v>
      </c>
    </row>
    <row r="49" spans="1:6" ht="56.25" x14ac:dyDescent="0.3">
      <c r="A49" s="3" t="s">
        <v>14</v>
      </c>
      <c r="B49" s="3" t="s">
        <v>138</v>
      </c>
      <c r="C49" s="3" t="s">
        <v>139</v>
      </c>
      <c r="D49" s="3" t="s">
        <v>140</v>
      </c>
      <c r="E49" s="3"/>
      <c r="F49" s="3" t="s">
        <v>21</v>
      </c>
    </row>
    <row r="50" spans="1:6" ht="29.25" customHeight="1" x14ac:dyDescent="0.3">
      <c r="A50" s="4">
        <v>1</v>
      </c>
      <c r="B50" s="238" t="s">
        <v>172</v>
      </c>
      <c r="C50" s="4">
        <v>2</v>
      </c>
      <c r="D50" s="4" t="s">
        <v>129</v>
      </c>
      <c r="E50" s="4"/>
      <c r="F50" s="238"/>
    </row>
    <row r="51" spans="1:6" ht="29.25" customHeight="1" x14ac:dyDescent="0.3">
      <c r="A51" s="4">
        <v>2</v>
      </c>
      <c r="B51" s="238" t="s">
        <v>173</v>
      </c>
      <c r="C51" s="4">
        <v>2</v>
      </c>
      <c r="D51" s="4" t="s">
        <v>129</v>
      </c>
      <c r="E51" s="4"/>
      <c r="F51" s="238"/>
    </row>
    <row r="52" spans="1:6" x14ac:dyDescent="0.3">
      <c r="A52" s="236"/>
    </row>
    <row r="53" spans="1:6" x14ac:dyDescent="0.3">
      <c r="A53" s="236"/>
    </row>
    <row r="54" spans="1:6" x14ac:dyDescent="0.3">
      <c r="A54" s="236"/>
    </row>
    <row r="55" spans="1:6" x14ac:dyDescent="0.3">
      <c r="A55" s="236"/>
    </row>
    <row r="56" spans="1:6" x14ac:dyDescent="0.3">
      <c r="A56" s="236"/>
    </row>
    <row r="57" spans="1:6" x14ac:dyDescent="0.3">
      <c r="A57" s="236"/>
    </row>
    <row r="58" spans="1:6" x14ac:dyDescent="0.3">
      <c r="A58" s="233" t="s">
        <v>174</v>
      </c>
    </row>
    <row r="59" spans="1:6" ht="56.25" x14ac:dyDescent="0.3">
      <c r="A59" s="3" t="s">
        <v>14</v>
      </c>
      <c r="B59" s="3" t="s">
        <v>138</v>
      </c>
      <c r="C59" s="3" t="s">
        <v>139</v>
      </c>
      <c r="D59" s="3" t="s">
        <v>140</v>
      </c>
      <c r="E59" s="3"/>
      <c r="F59" s="3" t="s">
        <v>21</v>
      </c>
    </row>
    <row r="60" spans="1:6" x14ac:dyDescent="0.3">
      <c r="A60" s="4">
        <v>1</v>
      </c>
      <c r="B60" s="5" t="s">
        <v>175</v>
      </c>
      <c r="C60" s="4">
        <v>1</v>
      </c>
      <c r="D60" s="4" t="s">
        <v>129</v>
      </c>
      <c r="E60" s="4"/>
      <c r="F60" s="238"/>
    </row>
    <row r="61" spans="1:6" ht="63.75" customHeight="1" x14ac:dyDescent="0.3">
      <c r="A61" s="4">
        <v>2</v>
      </c>
      <c r="B61" s="238" t="s">
        <v>194</v>
      </c>
      <c r="C61" s="4">
        <v>1</v>
      </c>
      <c r="D61" s="4" t="s">
        <v>124</v>
      </c>
      <c r="E61" s="4"/>
      <c r="F61" s="238" t="s">
        <v>103</v>
      </c>
    </row>
    <row r="62" spans="1:6" x14ac:dyDescent="0.3">
      <c r="A62" s="4">
        <v>3</v>
      </c>
      <c r="B62" s="5" t="s">
        <v>176</v>
      </c>
      <c r="C62" s="4">
        <v>1</v>
      </c>
      <c r="D62" s="4" t="s">
        <v>124</v>
      </c>
      <c r="E62" s="4"/>
      <c r="F62" s="238"/>
    </row>
    <row r="63" spans="1:6" x14ac:dyDescent="0.3">
      <c r="A63" s="4">
        <v>4</v>
      </c>
      <c r="B63" s="5" t="s">
        <v>177</v>
      </c>
      <c r="C63" s="4">
        <v>1</v>
      </c>
      <c r="D63" s="4" t="s">
        <v>124</v>
      </c>
      <c r="E63" s="4"/>
      <c r="F63" s="238"/>
    </row>
    <row r="64" spans="1:6" x14ac:dyDescent="0.3">
      <c r="A64" s="4">
        <v>5</v>
      </c>
      <c r="B64" s="5" t="s">
        <v>178</v>
      </c>
      <c r="C64" s="4">
        <v>1</v>
      </c>
      <c r="D64" s="4" t="s">
        <v>132</v>
      </c>
      <c r="E64" s="4"/>
      <c r="F64" s="238"/>
    </row>
    <row r="65" spans="1:6" x14ac:dyDescent="0.3">
      <c r="A65" s="4">
        <v>6</v>
      </c>
      <c r="B65" s="5" t="s">
        <v>179</v>
      </c>
      <c r="C65" s="4">
        <v>1</v>
      </c>
      <c r="D65" s="4" t="s">
        <v>124</v>
      </c>
      <c r="E65" s="4"/>
      <c r="F65" s="238"/>
    </row>
    <row r="66" spans="1:6" x14ac:dyDescent="0.3">
      <c r="A66" s="4">
        <v>7</v>
      </c>
      <c r="B66" s="5" t="s">
        <v>180</v>
      </c>
      <c r="C66" s="4">
        <v>1</v>
      </c>
      <c r="D66" s="4" t="s">
        <v>124</v>
      </c>
      <c r="E66" s="4"/>
      <c r="F66" s="238"/>
    </row>
    <row r="67" spans="1:6" x14ac:dyDescent="0.3">
      <c r="A67" s="4">
        <v>8</v>
      </c>
      <c r="B67" s="5" t="s">
        <v>181</v>
      </c>
      <c r="C67" s="4">
        <v>1</v>
      </c>
      <c r="D67" s="4" t="s">
        <v>124</v>
      </c>
      <c r="E67" s="4"/>
      <c r="F67" s="238"/>
    </row>
    <row r="68" spans="1:6" x14ac:dyDescent="0.3">
      <c r="A68" s="239"/>
    </row>
    <row r="69" spans="1:6" x14ac:dyDescent="0.3">
      <c r="A69" s="233" t="s">
        <v>182</v>
      </c>
      <c r="B69" s="240"/>
      <c r="D69" s="240"/>
      <c r="E69" s="240"/>
      <c r="F69" s="240"/>
    </row>
    <row r="70" spans="1:6" ht="56.25" x14ac:dyDescent="0.3">
      <c r="A70" s="3" t="s">
        <v>14</v>
      </c>
      <c r="B70" s="3" t="s">
        <v>138</v>
      </c>
      <c r="C70" s="3" t="s">
        <v>139</v>
      </c>
      <c r="D70" s="3" t="s">
        <v>140</v>
      </c>
      <c r="E70" s="3"/>
      <c r="F70" s="3" t="s">
        <v>21</v>
      </c>
    </row>
    <row r="71" spans="1:6" ht="37.5" x14ac:dyDescent="0.3">
      <c r="A71" s="241">
        <v>1</v>
      </c>
      <c r="B71" s="242" t="s">
        <v>183</v>
      </c>
      <c r="C71" s="241">
        <v>1</v>
      </c>
      <c r="D71" s="241" t="s">
        <v>127</v>
      </c>
      <c r="E71" s="241"/>
      <c r="F71" s="243"/>
    </row>
    <row r="72" spans="1:6" x14ac:dyDescent="0.3">
      <c r="A72" s="4">
        <v>2</v>
      </c>
      <c r="B72" s="5" t="s">
        <v>184</v>
      </c>
      <c r="C72" s="4">
        <v>1</v>
      </c>
      <c r="D72" s="4" t="s">
        <v>133</v>
      </c>
      <c r="E72" s="4"/>
      <c r="F72" s="238"/>
    </row>
    <row r="73" spans="1:6" x14ac:dyDescent="0.3">
      <c r="A73" s="4">
        <v>3</v>
      </c>
      <c r="B73" s="5" t="s">
        <v>185</v>
      </c>
      <c r="C73" s="4">
        <v>1</v>
      </c>
      <c r="D73" s="4" t="s">
        <v>133</v>
      </c>
      <c r="E73" s="4"/>
      <c r="F73" s="238"/>
    </row>
    <row r="74" spans="1:6" x14ac:dyDescent="0.3">
      <c r="A74" s="236"/>
    </row>
    <row r="75" spans="1:6" x14ac:dyDescent="0.3">
      <c r="A75" s="233" t="s">
        <v>186</v>
      </c>
    </row>
    <row r="76" spans="1:6" ht="56.25" x14ac:dyDescent="0.3">
      <c r="A76" s="3" t="s">
        <v>14</v>
      </c>
      <c r="B76" s="3" t="s">
        <v>138</v>
      </c>
      <c r="C76" s="3" t="s">
        <v>139</v>
      </c>
      <c r="D76" s="3" t="s">
        <v>140</v>
      </c>
      <c r="E76" s="3"/>
      <c r="F76" s="3" t="s">
        <v>21</v>
      </c>
    </row>
    <row r="77" spans="1:6" ht="40.5" customHeight="1" x14ac:dyDescent="0.3">
      <c r="A77" s="4">
        <v>1</v>
      </c>
      <c r="B77" s="5" t="s">
        <v>187</v>
      </c>
      <c r="C77" s="4">
        <v>2</v>
      </c>
      <c r="D77" s="4" t="s">
        <v>134</v>
      </c>
      <c r="E77" s="4"/>
      <c r="F77" s="238"/>
    </row>
    <row r="78" spans="1:6" x14ac:dyDescent="0.3">
      <c r="A78" s="4">
        <v>2</v>
      </c>
      <c r="B78" s="238" t="s">
        <v>188</v>
      </c>
      <c r="C78" s="4">
        <v>3</v>
      </c>
      <c r="D78" s="4" t="s">
        <v>135</v>
      </c>
      <c r="E78" s="4"/>
      <c r="F78" s="238"/>
    </row>
    <row r="79" spans="1:6" x14ac:dyDescent="0.3">
      <c r="A79" s="236"/>
    </row>
    <row r="80" spans="1:6" x14ac:dyDescent="0.3">
      <c r="A80" s="233" t="s">
        <v>193</v>
      </c>
    </row>
    <row r="81" spans="1:6" ht="56.25" x14ac:dyDescent="0.3">
      <c r="A81" s="3" t="s">
        <v>14</v>
      </c>
      <c r="B81" s="3" t="s">
        <v>138</v>
      </c>
      <c r="C81" s="3" t="s">
        <v>139</v>
      </c>
      <c r="D81" s="3" t="s">
        <v>140</v>
      </c>
      <c r="E81" s="3"/>
      <c r="F81" s="3" t="s">
        <v>21</v>
      </c>
    </row>
    <row r="82" spans="1:6" ht="26.25" customHeight="1" x14ac:dyDescent="0.3">
      <c r="A82" s="4">
        <v>1</v>
      </c>
      <c r="B82" s="5" t="s">
        <v>189</v>
      </c>
      <c r="C82" s="4">
        <v>1</v>
      </c>
      <c r="D82" s="4"/>
      <c r="E82" s="4"/>
      <c r="F82" s="238"/>
    </row>
    <row r="83" spans="1:6" ht="26.25" customHeight="1" x14ac:dyDescent="0.3">
      <c r="A83" s="4">
        <v>2</v>
      </c>
      <c r="B83" s="5" t="s">
        <v>190</v>
      </c>
      <c r="C83" s="4">
        <v>1</v>
      </c>
      <c r="D83" s="4"/>
      <c r="E83" s="4"/>
      <c r="F83" s="238"/>
    </row>
    <row r="84" spans="1:6" ht="26.25" customHeight="1" x14ac:dyDescent="0.3">
      <c r="A84" s="4">
        <v>3</v>
      </c>
      <c r="B84" s="5" t="s">
        <v>191</v>
      </c>
      <c r="C84" s="4">
        <v>1</v>
      </c>
      <c r="D84" s="4"/>
      <c r="E84" s="4"/>
      <c r="F84" s="238"/>
    </row>
    <row r="85" spans="1:6" x14ac:dyDescent="0.3">
      <c r="A85" s="236"/>
    </row>
    <row r="86" spans="1:6" x14ac:dyDescent="0.3">
      <c r="A86" s="236"/>
    </row>
    <row r="87" spans="1:6" x14ac:dyDescent="0.3">
      <c r="A87" s="236"/>
    </row>
    <row r="88" spans="1:6" x14ac:dyDescent="0.3">
      <c r="A88" s="236"/>
    </row>
  </sheetData>
  <mergeCells count="5">
    <mergeCell ref="A37:A38"/>
    <mergeCell ref="B37:B38"/>
    <mergeCell ref="C37:C38"/>
    <mergeCell ref="D37:D38"/>
    <mergeCell ref="F37:F38"/>
  </mergeCells>
  <pageMargins left="0.47244094488188981" right="0.35433070866141736" top="0.66" bottom="0.3" header="0.31496062992125984" footer="0.31496062992125984"/>
  <pageSetup paperSize="9" scale="95"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topLeftCell="A7" workbookViewId="0">
      <selection activeCell="E23" sqref="E23"/>
    </sheetView>
  </sheetViews>
  <sheetFormatPr defaultColWidth="8.85546875" defaultRowHeight="15" x14ac:dyDescent="0.25"/>
  <cols>
    <col min="1" max="1" width="22.7109375" customWidth="1"/>
    <col min="2" max="2" width="13.140625" customWidth="1"/>
    <col min="3" max="3" width="13.28515625" customWidth="1"/>
    <col min="4" max="4" width="14.42578125" customWidth="1"/>
    <col min="5" max="5" width="11.7109375" customWidth="1"/>
    <col min="6" max="6" width="17" customWidth="1"/>
  </cols>
  <sheetData>
    <row r="1" spans="1:13" s="63" customFormat="1" ht="15.75" x14ac:dyDescent="0.25">
      <c r="A1" s="63" t="s">
        <v>83</v>
      </c>
    </row>
    <row r="3" spans="1:13" ht="63" x14ac:dyDescent="0.25">
      <c r="A3" s="59" t="s">
        <v>71</v>
      </c>
      <c r="B3" s="150" t="s">
        <v>76</v>
      </c>
      <c r="C3" s="59" t="s">
        <v>68</v>
      </c>
      <c r="D3" s="59" t="s">
        <v>70</v>
      </c>
      <c r="E3" s="59" t="s">
        <v>67</v>
      </c>
      <c r="F3" s="59" t="s">
        <v>77</v>
      </c>
      <c r="G3" s="151"/>
      <c r="H3" s="50"/>
      <c r="I3" s="50"/>
      <c r="J3" s="14"/>
      <c r="K3" s="51"/>
      <c r="L3" s="152"/>
      <c r="M3" s="56"/>
    </row>
    <row r="4" spans="1:13" ht="15.75" x14ac:dyDescent="0.25">
      <c r="A4" s="59" t="s">
        <v>72</v>
      </c>
      <c r="B4" s="147"/>
      <c r="C4" s="59"/>
      <c r="D4" s="59"/>
      <c r="E4" s="59"/>
      <c r="F4" s="59"/>
      <c r="G4" s="153"/>
      <c r="H4" s="154"/>
      <c r="I4" s="154"/>
      <c r="J4" s="13"/>
      <c r="K4" s="155"/>
      <c r="L4" s="156"/>
      <c r="M4" s="49"/>
    </row>
    <row r="5" spans="1:13" ht="15.75" x14ac:dyDescent="0.25">
      <c r="A5" s="147" t="s">
        <v>62</v>
      </c>
      <c r="B5" s="10">
        <v>70000</v>
      </c>
      <c r="C5" s="67">
        <v>20</v>
      </c>
      <c r="D5" s="10">
        <v>21000</v>
      </c>
      <c r="E5" s="147">
        <v>0.2</v>
      </c>
      <c r="F5" s="10">
        <f>(C5*D5*E5)+B5</f>
        <v>154000</v>
      </c>
      <c r="G5" s="153"/>
      <c r="H5" s="154"/>
      <c r="I5" s="154"/>
      <c r="J5" s="13"/>
      <c r="K5" s="155"/>
      <c r="L5" s="156"/>
      <c r="M5" s="49"/>
    </row>
    <row r="6" spans="1:13" ht="15.75" x14ac:dyDescent="0.25">
      <c r="A6" s="147" t="s">
        <v>63</v>
      </c>
      <c r="B6" s="10">
        <v>70000</v>
      </c>
      <c r="C6" s="67">
        <v>40</v>
      </c>
      <c r="D6" s="10">
        <v>21000</v>
      </c>
      <c r="E6" s="147">
        <v>0.2</v>
      </c>
      <c r="F6" s="10">
        <f>(C6*D6*E6)+B6</f>
        <v>238000</v>
      </c>
      <c r="G6" s="153"/>
      <c r="H6" s="154"/>
      <c r="I6" s="154"/>
      <c r="J6" s="13"/>
      <c r="K6" s="155"/>
      <c r="L6" s="156"/>
      <c r="M6" s="49"/>
    </row>
    <row r="7" spans="1:13" ht="15.75" x14ac:dyDescent="0.25">
      <c r="A7" s="147" t="s">
        <v>64</v>
      </c>
      <c r="B7" s="10">
        <v>70000</v>
      </c>
      <c r="C7" s="67">
        <v>60</v>
      </c>
      <c r="D7" s="10">
        <v>21000</v>
      </c>
      <c r="E7" s="147">
        <v>0.2</v>
      </c>
      <c r="F7" s="10">
        <f>(C7*D7*E7)+B7</f>
        <v>322000</v>
      </c>
      <c r="G7" s="153"/>
      <c r="H7" s="154"/>
      <c r="I7" s="154"/>
      <c r="J7" s="13"/>
      <c r="K7" s="155"/>
      <c r="L7" s="156"/>
      <c r="M7" s="49"/>
    </row>
    <row r="8" spans="1:13" ht="63" x14ac:dyDescent="0.25">
      <c r="A8" s="157" t="s">
        <v>73</v>
      </c>
      <c r="B8" s="150" t="s">
        <v>76</v>
      </c>
      <c r="C8" s="59" t="s">
        <v>68</v>
      </c>
      <c r="D8" s="59" t="s">
        <v>70</v>
      </c>
      <c r="E8" s="59" t="s">
        <v>67</v>
      </c>
      <c r="F8" s="59" t="s">
        <v>78</v>
      </c>
      <c r="G8" s="158"/>
      <c r="H8" s="158"/>
      <c r="I8" s="158"/>
      <c r="J8" s="149"/>
      <c r="K8" s="159"/>
      <c r="L8" s="160"/>
      <c r="M8" s="160"/>
    </row>
    <row r="9" spans="1:13" ht="15.75" x14ac:dyDescent="0.25">
      <c r="A9" s="161" t="s">
        <v>74</v>
      </c>
      <c r="B9" s="10">
        <v>200000</v>
      </c>
      <c r="C9" s="10">
        <v>100</v>
      </c>
      <c r="D9" s="10">
        <v>21000</v>
      </c>
      <c r="E9" s="147">
        <v>0.2</v>
      </c>
      <c r="F9" s="10">
        <f>(E9*D9*C9)+B9</f>
        <v>620000</v>
      </c>
      <c r="G9" s="154"/>
      <c r="H9" s="154"/>
      <c r="I9" s="154"/>
      <c r="J9" s="13"/>
      <c r="K9" s="155"/>
      <c r="L9" s="156"/>
      <c r="M9" s="49"/>
    </row>
    <row r="10" spans="1:13" ht="15.75" x14ac:dyDescent="0.25">
      <c r="A10" s="161" t="s">
        <v>74</v>
      </c>
      <c r="B10" s="10">
        <v>200000</v>
      </c>
      <c r="C10" s="10">
        <v>80</v>
      </c>
      <c r="D10" s="10">
        <v>21000</v>
      </c>
      <c r="E10" s="147">
        <v>0.2</v>
      </c>
      <c r="F10" s="10">
        <f>(E10*D10*C10)+B10</f>
        <v>536000</v>
      </c>
      <c r="G10" s="154"/>
      <c r="H10" s="154"/>
      <c r="I10" s="154"/>
      <c r="J10" s="13"/>
      <c r="K10" s="155"/>
      <c r="L10" s="156"/>
      <c r="M10" s="49"/>
    </row>
    <row r="11" spans="1:13" ht="15.75" x14ac:dyDescent="0.25">
      <c r="A11" s="161" t="s">
        <v>74</v>
      </c>
      <c r="B11" s="10">
        <v>200000</v>
      </c>
      <c r="C11" s="10">
        <v>60</v>
      </c>
      <c r="D11" s="10">
        <v>21000</v>
      </c>
      <c r="E11" s="147">
        <v>0.2</v>
      </c>
      <c r="F11" s="10">
        <f>(E11*D11*C11)+B11</f>
        <v>452000</v>
      </c>
      <c r="G11" s="154"/>
      <c r="H11" s="154"/>
      <c r="I11" s="154"/>
      <c r="J11" s="13"/>
      <c r="K11" s="155"/>
      <c r="L11" s="156"/>
      <c r="M11" s="49"/>
    </row>
    <row r="12" spans="1:13" s="135" customFormat="1" ht="31.5" x14ac:dyDescent="0.25">
      <c r="A12" s="75" t="s">
        <v>75</v>
      </c>
      <c r="B12" s="86">
        <v>200000</v>
      </c>
      <c r="C12" s="86">
        <v>200</v>
      </c>
      <c r="D12" s="86">
        <v>21000</v>
      </c>
      <c r="E12" s="164">
        <v>0.2</v>
      </c>
      <c r="F12" s="86">
        <f>(E12*D12*C12)+B12</f>
        <v>1040000</v>
      </c>
      <c r="G12" s="61"/>
      <c r="H12" s="61"/>
      <c r="I12" s="61"/>
      <c r="J12" s="57"/>
      <c r="K12" s="165"/>
      <c r="L12" s="166"/>
      <c r="M12" s="58"/>
    </row>
    <row r="13" spans="1:13" ht="15.75" x14ac:dyDescent="0.25">
      <c r="A13" s="60" t="s">
        <v>80</v>
      </c>
      <c r="B13" s="52"/>
      <c r="C13" s="52"/>
      <c r="D13" s="52"/>
      <c r="E13" s="52"/>
      <c r="F13" s="52"/>
      <c r="G13" s="52"/>
      <c r="H13" s="52"/>
      <c r="I13" s="52"/>
      <c r="J13" s="53"/>
      <c r="K13" s="53"/>
      <c r="L13" s="54"/>
      <c r="M13" s="55"/>
    </row>
    <row r="14" spans="1:13" ht="15.75" x14ac:dyDescent="0.25">
      <c r="A14" s="13" t="s">
        <v>81</v>
      </c>
      <c r="B14" s="13"/>
      <c r="C14" s="13"/>
      <c r="D14" s="13"/>
      <c r="E14" s="13"/>
      <c r="F14" s="13"/>
      <c r="G14" s="13"/>
      <c r="H14" s="13"/>
      <c r="I14" s="13"/>
      <c r="J14" s="13"/>
      <c r="K14" s="13"/>
      <c r="L14" s="13"/>
      <c r="M14" s="13"/>
    </row>
    <row r="15" spans="1:13" ht="15.75" x14ac:dyDescent="0.25">
      <c r="A15" s="13" t="s">
        <v>79</v>
      </c>
      <c r="B15" s="13"/>
      <c r="C15" s="13"/>
      <c r="D15" s="13"/>
      <c r="E15" s="13"/>
      <c r="F15" s="13"/>
      <c r="G15" s="13"/>
      <c r="H15" s="13"/>
      <c r="I15" s="13"/>
      <c r="J15" s="13"/>
      <c r="K15" s="13"/>
      <c r="L15" s="13"/>
      <c r="M15" s="13"/>
    </row>
    <row r="16" spans="1:13" ht="15.75" x14ac:dyDescent="0.25">
      <c r="A16" s="13" t="s">
        <v>82</v>
      </c>
      <c r="B16" s="13"/>
      <c r="C16" s="13"/>
      <c r="D16" s="13"/>
      <c r="E16" s="13"/>
      <c r="F16" s="13"/>
      <c r="G16" s="13"/>
      <c r="H16" s="13"/>
      <c r="I16" s="13"/>
      <c r="J16" s="13"/>
      <c r="K16" s="13"/>
      <c r="L16" s="13"/>
      <c r="M16" s="13"/>
    </row>
    <row r="17" spans="1:9" s="163" customFormat="1" ht="15.75" x14ac:dyDescent="0.25">
      <c r="A17" s="63" t="s">
        <v>85</v>
      </c>
    </row>
    <row r="18" spans="1:9" ht="15.75" x14ac:dyDescent="0.25">
      <c r="A18" s="14" t="s">
        <v>65</v>
      </c>
      <c r="B18" s="14"/>
      <c r="C18" s="14"/>
      <c r="D18" s="14"/>
      <c r="E18" s="14"/>
      <c r="F18" s="14"/>
      <c r="G18" s="14"/>
      <c r="H18" s="14"/>
      <c r="I18" s="14"/>
    </row>
    <row r="19" spans="1:9" ht="63" x14ac:dyDescent="0.25">
      <c r="A19" s="59" t="s">
        <v>71</v>
      </c>
      <c r="B19" s="59" t="s">
        <v>68</v>
      </c>
      <c r="C19" s="59" t="s">
        <v>70</v>
      </c>
      <c r="D19" s="59" t="s">
        <v>67</v>
      </c>
      <c r="E19" s="59" t="s">
        <v>69</v>
      </c>
      <c r="F19" s="149"/>
      <c r="G19" s="149"/>
      <c r="H19" s="149"/>
      <c r="I19" s="149"/>
    </row>
    <row r="20" spans="1:9" ht="15.75" x14ac:dyDescent="0.25">
      <c r="A20" s="147" t="s">
        <v>62</v>
      </c>
      <c r="B20" s="67">
        <v>20</v>
      </c>
      <c r="C20" s="148">
        <v>21000</v>
      </c>
      <c r="D20" s="147">
        <v>0.2</v>
      </c>
      <c r="E20" s="148">
        <f>B20*C20*D20</f>
        <v>84000</v>
      </c>
      <c r="F20" s="13"/>
      <c r="G20" s="13"/>
      <c r="H20" s="13"/>
      <c r="I20" s="13"/>
    </row>
    <row r="21" spans="1:9" ht="15.75" x14ac:dyDescent="0.25">
      <c r="A21" s="147" t="s">
        <v>63</v>
      </c>
      <c r="B21" s="67">
        <v>40</v>
      </c>
      <c r="C21" s="148">
        <v>21000</v>
      </c>
      <c r="D21" s="147">
        <v>0.2</v>
      </c>
      <c r="E21" s="148">
        <f>B21*C21*D21</f>
        <v>168000</v>
      </c>
      <c r="F21" s="13"/>
      <c r="G21" s="13"/>
      <c r="H21" s="13"/>
      <c r="I21" s="13"/>
    </row>
    <row r="22" spans="1:9" ht="15.75" x14ac:dyDescent="0.25">
      <c r="A22" s="147" t="s">
        <v>64</v>
      </c>
      <c r="B22" s="67">
        <v>60</v>
      </c>
      <c r="C22" s="148">
        <v>21000</v>
      </c>
      <c r="D22" s="147">
        <v>0.2</v>
      </c>
      <c r="E22" s="148">
        <f>B22*C22*D22</f>
        <v>252000</v>
      </c>
      <c r="F22" s="13"/>
      <c r="G22" s="13"/>
      <c r="H22" s="13"/>
      <c r="I22" s="13"/>
    </row>
    <row r="23" spans="1:9" ht="15.75" x14ac:dyDescent="0.25">
      <c r="A23" s="162" t="s">
        <v>66</v>
      </c>
      <c r="B23" s="13"/>
      <c r="C23" s="13"/>
      <c r="D23" s="13"/>
      <c r="E23" s="13"/>
      <c r="F23" s="13"/>
      <c r="G23" s="13"/>
      <c r="H23" s="13"/>
      <c r="I23" s="13"/>
    </row>
    <row r="24" spans="1:9" ht="15.75" x14ac:dyDescent="0.25">
      <c r="A24" s="162" t="s">
        <v>84</v>
      </c>
      <c r="H24" s="115"/>
    </row>
  </sheetData>
  <pageMargins left="0.28000000000000003" right="0.16" top="0.54" bottom="0.36" header="0.31496062992125984" footer="0.31496062992125984"/>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BẢN TIN TRỰC TIẾP PT</vt:lpstr>
      <vt:lpstr>TẠP CHÍ</vt:lpstr>
      <vt:lpstr>TIN, BÀI</vt:lpstr>
      <vt:lpstr>CT KG,GT</vt:lpstr>
      <vt:lpstr>PT CÓ HÌNH</vt:lpstr>
      <vt:lpstr>Tiểu phẩm, câu chuyện TT</vt:lpstr>
      <vt:lpstr>Mức độ công việc PT</vt:lpstr>
      <vt:lpstr>PHỤ CẤP CTP (tính theo 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GoodM</dc:creator>
  <cp:lastModifiedBy>Administrator</cp:lastModifiedBy>
  <cp:lastPrinted>2024-11-04T09:28:44Z</cp:lastPrinted>
  <dcterms:created xsi:type="dcterms:W3CDTF">2023-01-30T03:18:38Z</dcterms:created>
  <dcterms:modified xsi:type="dcterms:W3CDTF">2024-11-08T09:28:57Z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2024-10-08T14:19:56Z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6b97ac95-f6cf-439d-8f41-39ab78610c8c</vt:lpwstr>
  </property>
  <property fmtid="{D5CDD505-2E9C-101B-9397-08002B2CF9AE}" pid="7" name="MSIP_Label_defa4170-0d19-0005-0004-bc88714345d2_ActionId">
    <vt:lpwstr>d132d555-d3f0-4285-983b-67342bffd4cc</vt:lpwstr>
  </property>
  <property fmtid="{D5CDD505-2E9C-101B-9397-08002B2CF9AE}" pid="8" name="MSIP_Label_defa4170-0d19-0005-0004-bc88714345d2_ContentBits">
    <vt:lpwstr>0</vt:lpwstr>
  </property>
</Properties>
</file>