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UNG\TÍNH NHUẬN BÚT MỚI\"/>
    </mc:Choice>
  </mc:AlternateContent>
  <bookViews>
    <workbookView xWindow="0" yWindow="0" windowWidth="14355" windowHeight="18000" firstSheet="2" activeTab="5"/>
  </bookViews>
  <sheets>
    <sheet name="BẢN TIN THU SẴN, KTGT" sheetId="8" r:id="rId1"/>
    <sheet name="TẠP CHÍ" sheetId="9" r:id="rId2"/>
    <sheet name="PHIM TÀI LIỆU" sheetId="16" r:id="rId3"/>
    <sheet name="TTS" sheetId="17" r:id="rId4"/>
    <sheet name="PHỤ CẤP CÔNG TÁC PHÍ" sheetId="13" r:id="rId5"/>
    <sheet name="BẢN TIN TRỰC TIẾP" sheetId="7" r:id="rId6"/>
    <sheet name="TRUYỀN HÌNH TRỰC TIẾP" sheetId="10" r:id="rId7"/>
    <sheet name="ĐỒ HỌA" sheetId="11" r:id="rId8"/>
    <sheet name="Tin, bài" sheetId="12" r:id="rId9"/>
    <sheet name="tiểu phẩm, phim " sheetId="15" r:id="rId10"/>
    <sheet name="BAREM CŨ" sheetId="4" r:id="rId11"/>
    <sheet name="SXCT" sheetId="6" r:id="rId1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12" l="1"/>
  <c r="K16" i="12"/>
  <c r="H16" i="12"/>
  <c r="I16" i="12"/>
  <c r="J16" i="12"/>
  <c r="G16" i="12"/>
  <c r="D16" i="12"/>
  <c r="E16" i="12" s="1"/>
  <c r="F16" i="12" s="1"/>
  <c r="C16" i="12"/>
  <c r="C5" i="12"/>
  <c r="D5" i="12" s="1"/>
  <c r="E5" i="12" s="1"/>
  <c r="F5" i="12" s="1"/>
  <c r="G5" i="12" s="1"/>
  <c r="H5" i="12" s="1"/>
  <c r="I5" i="12" s="1"/>
  <c r="J5" i="12" s="1"/>
  <c r="K5" i="12" s="1"/>
  <c r="L5" i="12" s="1"/>
  <c r="A27" i="16"/>
  <c r="A26" i="16"/>
  <c r="F8" i="13"/>
  <c r="E25" i="13"/>
  <c r="C33" i="17" l="1"/>
  <c r="D33" i="17" s="1"/>
  <c r="E33" i="17" s="1"/>
  <c r="F33" i="17" s="1"/>
  <c r="G33" i="17" s="1"/>
  <c r="L12" i="9" l="1"/>
  <c r="B12" i="9" s="1"/>
  <c r="B10" i="9"/>
  <c r="L75" i="11"/>
  <c r="I50" i="11"/>
  <c r="L69" i="11"/>
  <c r="L68" i="11"/>
  <c r="I48" i="11"/>
  <c r="I47" i="11"/>
  <c r="N132" i="10"/>
  <c r="N131" i="10"/>
  <c r="N130" i="10"/>
  <c r="N78" i="10"/>
  <c r="N77" i="10"/>
  <c r="N76" i="10"/>
  <c r="Q11" i="10"/>
  <c r="Q10" i="10"/>
  <c r="Q9" i="10"/>
  <c r="L20" i="7"/>
  <c r="L10" i="7"/>
  <c r="L8" i="7"/>
  <c r="L7" i="7"/>
  <c r="K82" i="9"/>
  <c r="K69" i="9"/>
  <c r="K68" i="9"/>
  <c r="I53" i="9"/>
  <c r="I38" i="9"/>
  <c r="I37" i="9"/>
  <c r="I36" i="9"/>
  <c r="L11" i="9"/>
  <c r="L10" i="9"/>
  <c r="L20" i="8"/>
  <c r="L19" i="8"/>
  <c r="B18" i="8"/>
  <c r="K2" i="8" s="1"/>
  <c r="C63" i="11"/>
  <c r="D63" i="11" s="1"/>
  <c r="E63" i="11" s="1"/>
  <c r="F63" i="11" s="1"/>
  <c r="G63" i="11" s="1"/>
  <c r="H63" i="11" s="1"/>
  <c r="I63" i="11" s="1"/>
  <c r="J63" i="11" s="1"/>
  <c r="K63" i="11" s="1"/>
  <c r="K21" i="7"/>
  <c r="H73" i="10"/>
  <c r="I73" i="10" s="1"/>
  <c r="J73" i="10" s="1"/>
  <c r="K73" i="10" s="1"/>
  <c r="L73" i="10" s="1"/>
  <c r="M73" i="10" s="1"/>
  <c r="G73" i="10"/>
  <c r="H6" i="10"/>
  <c r="I6" i="10" s="1"/>
  <c r="J6" i="10" s="1"/>
  <c r="K6" i="10" s="1"/>
  <c r="L6" i="10" s="1"/>
  <c r="M6" i="10" s="1"/>
  <c r="N6" i="10" s="1"/>
  <c r="O6" i="10" s="1"/>
  <c r="P6" i="10" s="1"/>
  <c r="G6" i="10"/>
  <c r="C6" i="7"/>
  <c r="D6" i="7" s="1"/>
  <c r="E6" i="7" s="1"/>
  <c r="F6" i="7" s="1"/>
  <c r="G6" i="7" s="1"/>
  <c r="H6" i="7" s="1"/>
  <c r="I6" i="7" s="1"/>
  <c r="J6" i="7" s="1"/>
  <c r="K6" i="7" s="1"/>
  <c r="K12" i="7" s="1"/>
  <c r="K15" i="7" s="1"/>
  <c r="D6" i="8"/>
  <c r="E6" i="8" s="1"/>
  <c r="F6" i="8" s="1"/>
  <c r="G6" i="8" s="1"/>
  <c r="H6" i="8" s="1"/>
  <c r="I6" i="8" s="1"/>
  <c r="J6" i="8" s="1"/>
  <c r="C6" i="8"/>
  <c r="C18" i="8" l="1"/>
  <c r="D18" i="8" s="1"/>
  <c r="E18" i="8" s="1"/>
  <c r="F18" i="8" s="1"/>
  <c r="G18" i="8" s="1"/>
  <c r="H18" i="8" s="1"/>
  <c r="I18" i="8" s="1"/>
  <c r="J18" i="8" s="1"/>
  <c r="K6" i="8"/>
  <c r="K9" i="8" s="1"/>
  <c r="K7" i="8" s="1"/>
  <c r="J9" i="8"/>
  <c r="J7" i="8" s="1"/>
  <c r="K14" i="7"/>
  <c r="K13" i="7"/>
  <c r="K11" i="7"/>
  <c r="K17" i="7"/>
  <c r="K8" i="7"/>
  <c r="K16" i="7"/>
  <c r="K7" i="7"/>
  <c r="K20" i="7"/>
  <c r="K19" i="7"/>
  <c r="K18" i="7"/>
  <c r="K10" i="7"/>
  <c r="K18" i="8"/>
  <c r="K21" i="8" s="1"/>
  <c r="K25" i="8" s="1"/>
  <c r="J21" i="8"/>
  <c r="J19" i="8" s="1"/>
  <c r="K10" i="8"/>
  <c r="J10" i="8"/>
  <c r="K13" i="8"/>
  <c r="J13" i="8"/>
  <c r="J8" i="8"/>
  <c r="K12" i="8"/>
  <c r="K11" i="8"/>
  <c r="J11" i="8"/>
  <c r="K24" i="8" l="1"/>
  <c r="J22" i="8"/>
  <c r="K19" i="8"/>
  <c r="J20" i="8"/>
  <c r="K22" i="8"/>
  <c r="K23" i="8"/>
  <c r="J24" i="8"/>
  <c r="J12" i="8"/>
  <c r="K8" i="8"/>
  <c r="K14" i="8" s="1"/>
  <c r="J14" i="8"/>
  <c r="K28" i="7"/>
  <c r="J23" i="8"/>
  <c r="J25" i="8"/>
  <c r="K20" i="8"/>
  <c r="C18" i="17"/>
  <c r="D18" i="17" s="1"/>
  <c r="E18" i="17" s="1"/>
  <c r="B23" i="17"/>
  <c r="B25" i="17" s="1"/>
  <c r="B8" i="17"/>
  <c r="H10" i="17"/>
  <c r="C6" i="17"/>
  <c r="C8" i="17" s="1"/>
  <c r="H9" i="17"/>
  <c r="E21" i="7"/>
  <c r="C3" i="16"/>
  <c r="C18" i="16"/>
  <c r="D18" i="16" s="1"/>
  <c r="E18" i="16" s="1"/>
  <c r="C19" i="16"/>
  <c r="D19" i="16" s="1"/>
  <c r="E19" i="16" s="1"/>
  <c r="C13" i="16"/>
  <c r="D13" i="16" s="1"/>
  <c r="E13" i="16" s="1"/>
  <c r="C12" i="16"/>
  <c r="D12" i="16" s="1"/>
  <c r="C8" i="16"/>
  <c r="D8" i="16" s="1"/>
  <c r="D3" i="16"/>
  <c r="C70" i="11"/>
  <c r="C72" i="11" s="1"/>
  <c r="B70" i="11"/>
  <c r="B72" i="11" s="1"/>
  <c r="I65" i="11"/>
  <c r="J65" i="11" s="1"/>
  <c r="K65" i="11" s="1"/>
  <c r="H65" i="11"/>
  <c r="B56" i="11"/>
  <c r="B47" i="11" s="1"/>
  <c r="H45" i="11"/>
  <c r="G45" i="11"/>
  <c r="F45" i="11"/>
  <c r="E45" i="11"/>
  <c r="D45" i="11"/>
  <c r="C45" i="11"/>
  <c r="B45" i="11"/>
  <c r="B43" i="11"/>
  <c r="C43" i="11" s="1"/>
  <c r="B32" i="11"/>
  <c r="B28" i="11" s="1"/>
  <c r="G26" i="11"/>
  <c r="F26" i="11"/>
  <c r="E26" i="11"/>
  <c r="D26" i="11"/>
  <c r="C26" i="11"/>
  <c r="B26" i="11"/>
  <c r="C24" i="11"/>
  <c r="D24" i="11" s="1"/>
  <c r="B16" i="11"/>
  <c r="B15" i="11"/>
  <c r="B12" i="11"/>
  <c r="H10" i="11"/>
  <c r="G10" i="11"/>
  <c r="F10" i="11"/>
  <c r="E10" i="11"/>
  <c r="D10" i="11"/>
  <c r="C10" i="11"/>
  <c r="B10" i="11"/>
  <c r="C8" i="11"/>
  <c r="C16" i="11" s="1"/>
  <c r="B21" i="7"/>
  <c r="C21" i="7" s="1"/>
  <c r="D21" i="7" s="1"/>
  <c r="F21" i="7" s="1"/>
  <c r="G21" i="7" s="1"/>
  <c r="H21" i="7" s="1"/>
  <c r="I21" i="7" s="1"/>
  <c r="J21" i="7" s="1"/>
  <c r="C12" i="7"/>
  <c r="K26" i="8" l="1"/>
  <c r="J26" i="8"/>
  <c r="B73" i="11"/>
  <c r="C73" i="11"/>
  <c r="D70" i="11"/>
  <c r="D74" i="11" s="1"/>
  <c r="B20" i="17"/>
  <c r="B24" i="17"/>
  <c r="B26" i="17" s="1"/>
  <c r="B27" i="17" s="1"/>
  <c r="B28" i="17" s="1"/>
  <c r="B29" i="17" s="1"/>
  <c r="B22" i="17"/>
  <c r="B21" i="17"/>
  <c r="D23" i="17"/>
  <c r="D25" i="17" s="1"/>
  <c r="B9" i="17"/>
  <c r="E23" i="17"/>
  <c r="E25" i="17" s="1"/>
  <c r="C23" i="17"/>
  <c r="C25" i="17" s="1"/>
  <c r="D6" i="17"/>
  <c r="B12" i="7"/>
  <c r="B18" i="7" s="1"/>
  <c r="C20" i="16"/>
  <c r="B9" i="16"/>
  <c r="B17" i="16"/>
  <c r="B5" i="16"/>
  <c r="B20" i="16"/>
  <c r="B16" i="16"/>
  <c r="B15" i="16"/>
  <c r="B23" i="16"/>
  <c r="B14" i="16"/>
  <c r="B11" i="16"/>
  <c r="B7" i="16"/>
  <c r="B6" i="16"/>
  <c r="B22" i="16"/>
  <c r="B21" i="16"/>
  <c r="B10" i="16"/>
  <c r="F70" i="11"/>
  <c r="E24" i="11"/>
  <c r="D32" i="11"/>
  <c r="D43" i="11"/>
  <c r="C56" i="11"/>
  <c r="C15" i="11"/>
  <c r="C12" i="11"/>
  <c r="B74" i="11"/>
  <c r="C74" i="11"/>
  <c r="C32" i="11"/>
  <c r="B52" i="11"/>
  <c r="C68" i="11"/>
  <c r="E70" i="11"/>
  <c r="C71" i="11"/>
  <c r="B75" i="11"/>
  <c r="B55" i="11"/>
  <c r="B53" i="11"/>
  <c r="B68" i="11"/>
  <c r="B71" i="11"/>
  <c r="B31" i="11"/>
  <c r="B51" i="11"/>
  <c r="C75" i="11"/>
  <c r="D8" i="11"/>
  <c r="B48" i="11"/>
  <c r="B50" i="11"/>
  <c r="B49" i="11" s="1"/>
  <c r="B69" i="11"/>
  <c r="B54" i="11"/>
  <c r="C69" i="11"/>
  <c r="C20" i="7"/>
  <c r="C19" i="7"/>
  <c r="C18" i="7"/>
  <c r="C16" i="7"/>
  <c r="C13" i="7"/>
  <c r="C10" i="7"/>
  <c r="C8" i="7"/>
  <c r="C17" i="7"/>
  <c r="C14" i="7"/>
  <c r="C11" i="7"/>
  <c r="C7" i="7"/>
  <c r="C15" i="7"/>
  <c r="B57" i="11" l="1"/>
  <c r="B14" i="7"/>
  <c r="B13" i="7"/>
  <c r="B9" i="7" s="1"/>
  <c r="B7" i="7"/>
  <c r="B20" i="7"/>
  <c r="B16" i="7"/>
  <c r="B11" i="7"/>
  <c r="B28" i="7" s="1"/>
  <c r="B17" i="7"/>
  <c r="B15" i="7"/>
  <c r="D71" i="11"/>
  <c r="D68" i="11"/>
  <c r="D75" i="11"/>
  <c r="D73" i="11"/>
  <c r="D69" i="11"/>
  <c r="D72" i="11"/>
  <c r="E12" i="7"/>
  <c r="E22" i="17"/>
  <c r="E20" i="17"/>
  <c r="E24" i="17"/>
  <c r="E26" i="17" s="1"/>
  <c r="E27" i="17" s="1"/>
  <c r="E28" i="17" s="1"/>
  <c r="E29" i="17" s="1"/>
  <c r="E21" i="17"/>
  <c r="C20" i="17"/>
  <c r="C24" i="17"/>
  <c r="C26" i="17" s="1"/>
  <c r="C27" i="17" s="1"/>
  <c r="C28" i="17" s="1"/>
  <c r="C29" i="17" s="1"/>
  <c r="C21" i="17"/>
  <c r="C22" i="17"/>
  <c r="D20" i="17"/>
  <c r="D24" i="17"/>
  <c r="D26" i="17" s="1"/>
  <c r="D27" i="17" s="1"/>
  <c r="D28" i="17" s="1"/>
  <c r="D29" i="17" s="1"/>
  <c r="D21" i="17"/>
  <c r="D22" i="17"/>
  <c r="F18" i="17"/>
  <c r="B30" i="17"/>
  <c r="E6" i="17"/>
  <c r="E8" i="17" s="1"/>
  <c r="D8" i="17"/>
  <c r="B19" i="7"/>
  <c r="B8" i="7"/>
  <c r="B10" i="7"/>
  <c r="C11" i="16"/>
  <c r="C22" i="16"/>
  <c r="C15" i="16"/>
  <c r="C16" i="16"/>
  <c r="C6" i="16"/>
  <c r="C23" i="16"/>
  <c r="C17" i="16"/>
  <c r="C21" i="16"/>
  <c r="C5" i="16"/>
  <c r="C7" i="16"/>
  <c r="C10" i="16"/>
  <c r="C9" i="16"/>
  <c r="C76" i="11"/>
  <c r="F71" i="11"/>
  <c r="F68" i="11"/>
  <c r="F74" i="11"/>
  <c r="F73" i="11"/>
  <c r="F72" i="11"/>
  <c r="F69" i="11"/>
  <c r="F75" i="11"/>
  <c r="E75" i="11"/>
  <c r="E69" i="11"/>
  <c r="E71" i="11"/>
  <c r="E68" i="11"/>
  <c r="E72" i="11"/>
  <c r="E74" i="11"/>
  <c r="E73" i="11"/>
  <c r="D56" i="11"/>
  <c r="E43" i="11"/>
  <c r="C28" i="11"/>
  <c r="C31" i="11"/>
  <c r="G70" i="11"/>
  <c r="C50" i="11"/>
  <c r="C48" i="11"/>
  <c r="C47" i="11"/>
  <c r="C57" i="11" s="1"/>
  <c r="C51" i="11"/>
  <c r="C55" i="11"/>
  <c r="C52" i="11"/>
  <c r="C54" i="11"/>
  <c r="C53" i="11"/>
  <c r="B76" i="11"/>
  <c r="D31" i="11"/>
  <c r="D28" i="11"/>
  <c r="D16" i="11"/>
  <c r="E8" i="11"/>
  <c r="F24" i="11"/>
  <c r="E32" i="11"/>
  <c r="D12" i="7"/>
  <c r="C28" i="7"/>
  <c r="D76" i="11" l="1"/>
  <c r="E7" i="7"/>
  <c r="E17" i="7"/>
  <c r="E8" i="7"/>
  <c r="E15" i="7"/>
  <c r="E18" i="7"/>
  <c r="E10" i="7"/>
  <c r="E14" i="7"/>
  <c r="E13" i="7"/>
  <c r="E16" i="7"/>
  <c r="E11" i="7"/>
  <c r="E19" i="7"/>
  <c r="E20" i="7"/>
  <c r="C30" i="17"/>
  <c r="E30" i="17"/>
  <c r="D30" i="17"/>
  <c r="G18" i="17"/>
  <c r="G23" i="17" s="1"/>
  <c r="G25" i="17" s="1"/>
  <c r="F23" i="17"/>
  <c r="F25" i="17" s="1"/>
  <c r="B11" i="17"/>
  <c r="C9" i="17"/>
  <c r="D20" i="16"/>
  <c r="D21" i="16"/>
  <c r="D5" i="16"/>
  <c r="D16" i="16"/>
  <c r="D9" i="16"/>
  <c r="D10" i="16"/>
  <c r="D22" i="16"/>
  <c r="D14" i="16"/>
  <c r="D6" i="16"/>
  <c r="D23" i="16"/>
  <c r="D15" i="16"/>
  <c r="D7" i="16"/>
  <c r="D17" i="16"/>
  <c r="D11" i="16"/>
  <c r="D51" i="11"/>
  <c r="D52" i="11"/>
  <c r="D53" i="11"/>
  <c r="D55" i="11"/>
  <c r="D50" i="11"/>
  <c r="D54" i="11"/>
  <c r="D47" i="11"/>
  <c r="D48" i="11"/>
  <c r="H70" i="11"/>
  <c r="E28" i="11"/>
  <c r="E31" i="11"/>
  <c r="G74" i="11"/>
  <c r="G75" i="11"/>
  <c r="G68" i="11"/>
  <c r="G73" i="11"/>
  <c r="G69" i="11"/>
  <c r="G71" i="11"/>
  <c r="G72" i="11"/>
  <c r="E76" i="11"/>
  <c r="F32" i="11"/>
  <c r="G24" i="11"/>
  <c r="G32" i="11" s="1"/>
  <c r="F76" i="11"/>
  <c r="F8" i="11"/>
  <c r="E16" i="11"/>
  <c r="D12" i="11"/>
  <c r="D15" i="11"/>
  <c r="F43" i="11"/>
  <c r="E56" i="11"/>
  <c r="F12" i="7"/>
  <c r="D18" i="7"/>
  <c r="D17" i="7"/>
  <c r="D15" i="7"/>
  <c r="D14" i="7"/>
  <c r="D13" i="7"/>
  <c r="D11" i="7"/>
  <c r="D7" i="7"/>
  <c r="D20" i="7"/>
  <c r="D8" i="7"/>
  <c r="D19" i="7"/>
  <c r="D16" i="7"/>
  <c r="D10" i="7"/>
  <c r="D57" i="11" l="1"/>
  <c r="E28" i="7"/>
  <c r="G76" i="11"/>
  <c r="F20" i="17"/>
  <c r="F22" i="17"/>
  <c r="F24" i="17"/>
  <c r="F26" i="17" s="1"/>
  <c r="F27" i="17" s="1"/>
  <c r="F28" i="17" s="1"/>
  <c r="F29" i="17" s="1"/>
  <c r="F21" i="17"/>
  <c r="G24" i="17"/>
  <c r="G26" i="17" s="1"/>
  <c r="G27" i="17" s="1"/>
  <c r="G28" i="17" s="1"/>
  <c r="G29" i="17" s="1"/>
  <c r="G21" i="17"/>
  <c r="G22" i="17"/>
  <c r="G20" i="17"/>
  <c r="D10" i="17"/>
  <c r="C11" i="17"/>
  <c r="E21" i="16"/>
  <c r="E5" i="16"/>
  <c r="E16" i="16"/>
  <c r="E17" i="16"/>
  <c r="E22" i="16"/>
  <c r="E14" i="16"/>
  <c r="E6" i="16"/>
  <c r="E11" i="16"/>
  <c r="E23" i="16"/>
  <c r="E15" i="16"/>
  <c r="E7" i="16"/>
  <c r="E10" i="16"/>
  <c r="E9" i="16"/>
  <c r="E20" i="16"/>
  <c r="G8" i="11"/>
  <c r="F16" i="11"/>
  <c r="G28" i="11"/>
  <c r="G31" i="11"/>
  <c r="E52" i="11"/>
  <c r="E50" i="11"/>
  <c r="E53" i="11"/>
  <c r="E47" i="11"/>
  <c r="E54" i="11"/>
  <c r="E48" i="11"/>
  <c r="E55" i="11"/>
  <c r="E51" i="11"/>
  <c r="F28" i="11"/>
  <c r="F31" i="11"/>
  <c r="G43" i="11"/>
  <c r="F56" i="11"/>
  <c r="I70" i="11"/>
  <c r="E15" i="11"/>
  <c r="E12" i="11"/>
  <c r="H71" i="11"/>
  <c r="H73" i="11"/>
  <c r="H75" i="11"/>
  <c r="H68" i="11"/>
  <c r="H74" i="11"/>
  <c r="H72" i="11"/>
  <c r="H69" i="11"/>
  <c r="G12" i="7"/>
  <c r="D28" i="7"/>
  <c r="F19" i="7"/>
  <c r="F16" i="7"/>
  <c r="F15" i="7"/>
  <c r="F14" i="7"/>
  <c r="F10" i="7"/>
  <c r="F7" i="7"/>
  <c r="F18" i="7"/>
  <c r="F13" i="7"/>
  <c r="F8" i="7"/>
  <c r="F20" i="7"/>
  <c r="F17" i="7"/>
  <c r="F11" i="7"/>
  <c r="E57" i="11" l="1"/>
  <c r="H76" i="11"/>
  <c r="G30" i="17"/>
  <c r="F30" i="17"/>
  <c r="D11" i="17"/>
  <c r="F6" i="17"/>
  <c r="F8" i="17" s="1"/>
  <c r="E10" i="17"/>
  <c r="F53" i="11"/>
  <c r="F48" i="11"/>
  <c r="F51" i="11"/>
  <c r="F52" i="11"/>
  <c r="F54" i="11"/>
  <c r="F50" i="11"/>
  <c r="F55" i="11"/>
  <c r="F47" i="11"/>
  <c r="F57" i="11" s="1"/>
  <c r="H43" i="11"/>
  <c r="H56" i="11" s="1"/>
  <c r="G56" i="11"/>
  <c r="K70" i="11"/>
  <c r="J70" i="11"/>
  <c r="F12" i="11"/>
  <c r="F15" i="11"/>
  <c r="I73" i="11"/>
  <c r="I72" i="11"/>
  <c r="I69" i="11"/>
  <c r="I75" i="11"/>
  <c r="I71" i="11"/>
  <c r="I68" i="11"/>
  <c r="I74" i="11"/>
  <c r="H8" i="11"/>
  <c r="H16" i="11" s="1"/>
  <c r="G16" i="11"/>
  <c r="G7" i="7"/>
  <c r="G20" i="7"/>
  <c r="G19" i="7"/>
  <c r="G16" i="7"/>
  <c r="G14" i="7"/>
  <c r="G10" i="7"/>
  <c r="G18" i="7"/>
  <c r="G17" i="7"/>
  <c r="G15" i="7"/>
  <c r="G13" i="7"/>
  <c r="G11" i="7"/>
  <c r="G8" i="7"/>
  <c r="F28" i="7"/>
  <c r="H12" i="7"/>
  <c r="E11" i="17" l="1"/>
  <c r="F10" i="17"/>
  <c r="G6" i="17"/>
  <c r="G8" i="17" s="1"/>
  <c r="G12" i="11"/>
  <c r="G15" i="11"/>
  <c r="K72" i="11"/>
  <c r="K69" i="11"/>
  <c r="K73" i="11"/>
  <c r="K75" i="11"/>
  <c r="K71" i="11"/>
  <c r="K68" i="11"/>
  <c r="K74" i="11"/>
  <c r="I76" i="11"/>
  <c r="G54" i="11"/>
  <c r="G52" i="11"/>
  <c r="G55" i="11"/>
  <c r="G50" i="11"/>
  <c r="G47" i="11"/>
  <c r="G51" i="11"/>
  <c r="G53" i="11"/>
  <c r="G48" i="11"/>
  <c r="H12" i="11"/>
  <c r="H15" i="11"/>
  <c r="J74" i="11"/>
  <c r="J73" i="11"/>
  <c r="J72" i="11"/>
  <c r="J69" i="11"/>
  <c r="J68" i="11"/>
  <c r="J75" i="11"/>
  <c r="J71" i="11"/>
  <c r="H55" i="11"/>
  <c r="H53" i="11"/>
  <c r="H52" i="11"/>
  <c r="H47" i="11"/>
  <c r="H54" i="11"/>
  <c r="H50" i="11"/>
  <c r="H48" i="11"/>
  <c r="H51" i="11"/>
  <c r="I12" i="7"/>
  <c r="J12" i="7"/>
  <c r="H7" i="7"/>
  <c r="H20" i="7"/>
  <c r="H19" i="7"/>
  <c r="H18" i="7"/>
  <c r="H17" i="7"/>
  <c r="H16" i="7"/>
  <c r="H15" i="7"/>
  <c r="H14" i="7"/>
  <c r="H13" i="7"/>
  <c r="H11" i="7"/>
  <c r="H10" i="7"/>
  <c r="H8" i="7"/>
  <c r="G28" i="7"/>
  <c r="G10" i="17" l="1"/>
  <c r="F11" i="17"/>
  <c r="K76" i="11"/>
  <c r="M71" i="11"/>
  <c r="M68" i="11"/>
  <c r="M69" i="11" s="1"/>
  <c r="H57" i="11"/>
  <c r="G57" i="11"/>
  <c r="J76" i="11"/>
  <c r="H28" i="7"/>
  <c r="J20" i="7"/>
  <c r="J19" i="7"/>
  <c r="J18" i="7"/>
  <c r="J17" i="7"/>
  <c r="J16" i="7"/>
  <c r="J15" i="7"/>
  <c r="J14" i="7"/>
  <c r="J13" i="7"/>
  <c r="J11" i="7"/>
  <c r="J10" i="7"/>
  <c r="J8" i="7"/>
  <c r="J7" i="7"/>
  <c r="I20" i="7"/>
  <c r="I19" i="7"/>
  <c r="I18" i="7"/>
  <c r="I17" i="7"/>
  <c r="I16" i="7"/>
  <c r="I15" i="7"/>
  <c r="I14" i="7"/>
  <c r="I13" i="7"/>
  <c r="I11" i="7"/>
  <c r="I10" i="7"/>
  <c r="I8" i="7"/>
  <c r="I7" i="7"/>
  <c r="G11" i="17" l="1"/>
  <c r="J28" i="7"/>
  <c r="I28" i="7"/>
  <c r="M155" i="10" l="1"/>
  <c r="L155" i="10"/>
  <c r="K155" i="10"/>
  <c r="J155" i="10"/>
  <c r="I155" i="10"/>
  <c r="H155" i="10"/>
  <c r="G155" i="10"/>
  <c r="F155" i="10"/>
  <c r="M128" i="10"/>
  <c r="L128" i="10"/>
  <c r="K128" i="10"/>
  <c r="J128" i="10"/>
  <c r="I128" i="10"/>
  <c r="H128" i="10"/>
  <c r="G128" i="10"/>
  <c r="F128" i="10"/>
  <c r="G127" i="10"/>
  <c r="G138" i="10" s="1"/>
  <c r="G142" i="10" s="1"/>
  <c r="F138" i="10"/>
  <c r="H86" i="10"/>
  <c r="H96" i="10" s="1"/>
  <c r="G86" i="10"/>
  <c r="G108" i="10" s="1"/>
  <c r="G77" i="10"/>
  <c r="K74" i="10"/>
  <c r="J74" i="10"/>
  <c r="I74" i="10"/>
  <c r="H74" i="10"/>
  <c r="G74" i="10"/>
  <c r="F74" i="10"/>
  <c r="F86" i="10"/>
  <c r="F76" i="10" s="1"/>
  <c r="F34" i="10"/>
  <c r="F23" i="10"/>
  <c r="F50" i="10" s="1"/>
  <c r="G23" i="10"/>
  <c r="G10" i="10" s="1"/>
  <c r="F16" i="10" l="1"/>
  <c r="F36" i="10"/>
  <c r="F41" i="10"/>
  <c r="F53" i="10"/>
  <c r="F14" i="10"/>
  <c r="F59" i="10"/>
  <c r="F24" i="10"/>
  <c r="F80" i="10"/>
  <c r="G94" i="10"/>
  <c r="G130" i="10"/>
  <c r="H127" i="10"/>
  <c r="G88" i="10"/>
  <c r="G80" i="10"/>
  <c r="G98" i="10"/>
  <c r="G76" i="10"/>
  <c r="G104" i="10"/>
  <c r="G58" i="10"/>
  <c r="G39" i="10"/>
  <c r="G55" i="10"/>
  <c r="G51" i="10"/>
  <c r="G57" i="10"/>
  <c r="G56" i="10"/>
  <c r="G43" i="10"/>
  <c r="G38" i="10"/>
  <c r="G31" i="10"/>
  <c r="G22" i="10"/>
  <c r="G27" i="10"/>
  <c r="G17" i="10"/>
  <c r="G50" i="10"/>
  <c r="G42" i="10"/>
  <c r="G37" i="10"/>
  <c r="G33" i="10"/>
  <c r="G24" i="10"/>
  <c r="G13" i="10"/>
  <c r="G46" i="10"/>
  <c r="G45" i="10"/>
  <c r="G25" i="10"/>
  <c r="G14" i="10"/>
  <c r="G30" i="10"/>
  <c r="G11" i="10"/>
  <c r="G44" i="10"/>
  <c r="G9" i="10"/>
  <c r="G52" i="10"/>
  <c r="G40" i="10"/>
  <c r="G26" i="10"/>
  <c r="G12" i="10"/>
  <c r="G59" i="10"/>
  <c r="G18" i="10"/>
  <c r="G53" i="10"/>
  <c r="G16" i="10"/>
  <c r="G35" i="10"/>
  <c r="G41" i="10"/>
  <c r="G36" i="10"/>
  <c r="G28" i="10"/>
  <c r="G32" i="10"/>
  <c r="F10" i="10"/>
  <c r="F32" i="10"/>
  <c r="F37" i="10"/>
  <c r="G109" i="10"/>
  <c r="G107" i="10"/>
  <c r="G105" i="10"/>
  <c r="G111" i="10" s="1"/>
  <c r="G99" i="10"/>
  <c r="G97" i="10"/>
  <c r="G95" i="10"/>
  <c r="G93" i="10"/>
  <c r="G90" i="10"/>
  <c r="G87" i="10"/>
  <c r="G85" i="10"/>
  <c r="G81" i="10"/>
  <c r="G78" i="10"/>
  <c r="G91" i="10"/>
  <c r="G96" i="10"/>
  <c r="G100" i="10"/>
  <c r="G106" i="10"/>
  <c r="G110" i="10"/>
  <c r="H78" i="10"/>
  <c r="H76" i="10"/>
  <c r="H109" i="10"/>
  <c r="H107" i="10"/>
  <c r="H105" i="10"/>
  <c r="H99" i="10"/>
  <c r="H97" i="10"/>
  <c r="H95" i="10"/>
  <c r="H93" i="10"/>
  <c r="H90" i="10"/>
  <c r="H87" i="10"/>
  <c r="H85" i="10"/>
  <c r="H81" i="10"/>
  <c r="H106" i="10"/>
  <c r="F52" i="10"/>
  <c r="F42" i="10"/>
  <c r="F58" i="10"/>
  <c r="F55" i="10"/>
  <c r="F46" i="10"/>
  <c r="F45" i="10"/>
  <c r="F25" i="10"/>
  <c r="F57" i="10"/>
  <c r="F56" i="10"/>
  <c r="F43" i="10"/>
  <c r="F38" i="10"/>
  <c r="F31" i="10"/>
  <c r="F22" i="10"/>
  <c r="F11" i="10"/>
  <c r="F27" i="10"/>
  <c r="F17" i="10"/>
  <c r="F44" i="10"/>
  <c r="F39" i="10"/>
  <c r="F35" i="10"/>
  <c r="F28" i="10"/>
  <c r="F18" i="10"/>
  <c r="F9" i="10"/>
  <c r="F13" i="10"/>
  <c r="F26" i="10"/>
  <c r="F40" i="10"/>
  <c r="H88" i="10"/>
  <c r="H94" i="10"/>
  <c r="H98" i="10"/>
  <c r="H104" i="10"/>
  <c r="H108" i="10"/>
  <c r="H91" i="10"/>
  <c r="H110" i="10"/>
  <c r="H77" i="10"/>
  <c r="F51" i="10"/>
  <c r="F12" i="10"/>
  <c r="F30" i="10"/>
  <c r="H80" i="10"/>
  <c r="H100" i="10"/>
  <c r="F33" i="10"/>
  <c r="I86" i="10"/>
  <c r="G156" i="10"/>
  <c r="G153" i="10"/>
  <c r="G151" i="10"/>
  <c r="G147" i="10"/>
  <c r="G154" i="10"/>
  <c r="G152" i="10"/>
  <c r="G146" i="10"/>
  <c r="G143" i="10"/>
  <c r="G140" i="10"/>
  <c r="G134" i="10"/>
  <c r="G131" i="10"/>
  <c r="G132" i="10"/>
  <c r="G139" i="10"/>
  <c r="G148" i="10" s="1"/>
  <c r="G145" i="10"/>
  <c r="F110" i="10"/>
  <c r="F109" i="10"/>
  <c r="F108" i="10"/>
  <c r="F107" i="10"/>
  <c r="F106" i="10"/>
  <c r="F105" i="10"/>
  <c r="F104" i="10"/>
  <c r="F100" i="10"/>
  <c r="F99" i="10"/>
  <c r="F98" i="10"/>
  <c r="F97" i="10"/>
  <c r="F96" i="10"/>
  <c r="F95" i="10"/>
  <c r="F94" i="10"/>
  <c r="F93" i="10"/>
  <c r="F91" i="10"/>
  <c r="F90" i="10"/>
  <c r="F88" i="10"/>
  <c r="F87" i="10"/>
  <c r="F85" i="10"/>
  <c r="F81" i="10"/>
  <c r="F77" i="10"/>
  <c r="F78" i="10"/>
  <c r="F156" i="10"/>
  <c r="F154" i="10"/>
  <c r="F153" i="10"/>
  <c r="F152" i="10"/>
  <c r="F151" i="10"/>
  <c r="F147" i="10"/>
  <c r="F146" i="10"/>
  <c r="F145" i="10"/>
  <c r="F143" i="10"/>
  <c r="F142" i="10"/>
  <c r="F140" i="10"/>
  <c r="F139" i="10"/>
  <c r="F134" i="10"/>
  <c r="F132" i="10"/>
  <c r="F131" i="10"/>
  <c r="F130" i="10"/>
  <c r="G82" i="10" l="1"/>
  <c r="F60" i="10"/>
  <c r="F111" i="10"/>
  <c r="F148" i="10"/>
  <c r="F157" i="10"/>
  <c r="H138" i="10"/>
  <c r="I127" i="10"/>
  <c r="G135" i="10"/>
  <c r="F82" i="10"/>
  <c r="H82" i="10"/>
  <c r="F47" i="10"/>
  <c r="F135" i="10"/>
  <c r="F158" i="10" s="1"/>
  <c r="J86" i="10"/>
  <c r="H111" i="10"/>
  <c r="F19" i="10"/>
  <c r="H101" i="10"/>
  <c r="H23" i="10"/>
  <c r="G60" i="10"/>
  <c r="G101" i="10"/>
  <c r="G19" i="10"/>
  <c r="G47" i="10"/>
  <c r="F101" i="10"/>
  <c r="G157" i="10"/>
  <c r="G158" i="10" s="1"/>
  <c r="I76" i="10"/>
  <c r="I110" i="10"/>
  <c r="I108" i="10"/>
  <c r="I106" i="10"/>
  <c r="I104" i="10"/>
  <c r="I100" i="10"/>
  <c r="I98" i="10"/>
  <c r="I96" i="10"/>
  <c r="I94" i="10"/>
  <c r="I91" i="10"/>
  <c r="I88" i="10"/>
  <c r="I80" i="10"/>
  <c r="I78" i="10"/>
  <c r="I77" i="10"/>
  <c r="I107" i="10"/>
  <c r="I87" i="10"/>
  <c r="I109" i="10"/>
  <c r="I105" i="10"/>
  <c r="I99" i="10"/>
  <c r="I95" i="10"/>
  <c r="I90" i="10"/>
  <c r="I85" i="10"/>
  <c r="I97" i="10"/>
  <c r="I81" i="10"/>
  <c r="I93" i="10"/>
  <c r="G112" i="10" l="1"/>
  <c r="H112" i="10"/>
  <c r="F112" i="10"/>
  <c r="H146" i="10"/>
  <c r="H154" i="10"/>
  <c r="H132" i="10"/>
  <c r="H131" i="10"/>
  <c r="H151" i="10"/>
  <c r="H152" i="10"/>
  <c r="H145" i="10"/>
  <c r="H156" i="10"/>
  <c r="H130" i="10"/>
  <c r="H134" i="10"/>
  <c r="H140" i="10"/>
  <c r="H153" i="10"/>
  <c r="H147" i="10"/>
  <c r="H142" i="10"/>
  <c r="H143" i="10"/>
  <c r="H139" i="10"/>
  <c r="J127" i="10"/>
  <c r="I138" i="10"/>
  <c r="I82" i="10"/>
  <c r="J76" i="10"/>
  <c r="J110" i="10"/>
  <c r="J108" i="10"/>
  <c r="J106" i="10"/>
  <c r="J104" i="10"/>
  <c r="J100" i="10"/>
  <c r="J98" i="10"/>
  <c r="J96" i="10"/>
  <c r="J94" i="10"/>
  <c r="J91" i="10"/>
  <c r="J88" i="10"/>
  <c r="J80" i="10"/>
  <c r="J109" i="10"/>
  <c r="J105" i="10"/>
  <c r="J99" i="10"/>
  <c r="J95" i="10"/>
  <c r="J90" i="10"/>
  <c r="J85" i="10"/>
  <c r="J81" i="10"/>
  <c r="J78" i="10"/>
  <c r="J107" i="10"/>
  <c r="J97" i="10"/>
  <c r="J93" i="10"/>
  <c r="J77" i="10"/>
  <c r="J87" i="10"/>
  <c r="K86" i="10"/>
  <c r="H55" i="10"/>
  <c r="H44" i="10"/>
  <c r="H36" i="10"/>
  <c r="H51" i="10"/>
  <c r="H57" i="10"/>
  <c r="H46" i="10"/>
  <c r="H27" i="10"/>
  <c r="H17" i="10"/>
  <c r="H50" i="10"/>
  <c r="H42" i="10"/>
  <c r="H37" i="10"/>
  <c r="H33" i="10"/>
  <c r="H24" i="10"/>
  <c r="H13" i="10"/>
  <c r="H59" i="10"/>
  <c r="H58" i="10"/>
  <c r="H41" i="10"/>
  <c r="H30" i="10"/>
  <c r="H10" i="10"/>
  <c r="H56" i="10"/>
  <c r="H43" i="10"/>
  <c r="H38" i="10"/>
  <c r="H31" i="10"/>
  <c r="H22" i="10"/>
  <c r="H11" i="10"/>
  <c r="H52" i="10"/>
  <c r="H40" i="10"/>
  <c r="H26" i="10"/>
  <c r="H12" i="10"/>
  <c r="H14" i="10"/>
  <c r="H53" i="10"/>
  <c r="H39" i="10"/>
  <c r="H35" i="10"/>
  <c r="H32" i="10"/>
  <c r="H9" i="10"/>
  <c r="H45" i="10"/>
  <c r="H18" i="10"/>
  <c r="H16" i="10"/>
  <c r="H28" i="10"/>
  <c r="H25" i="10"/>
  <c r="I23" i="10"/>
  <c r="I101" i="10"/>
  <c r="I111" i="10"/>
  <c r="G61" i="10"/>
  <c r="F61" i="10"/>
  <c r="C8" i="9"/>
  <c r="D8" i="9" s="1"/>
  <c r="E8" i="9" s="1"/>
  <c r="I112" i="10" l="1"/>
  <c r="H148" i="10"/>
  <c r="I132" i="10"/>
  <c r="I140" i="10"/>
  <c r="I156" i="10"/>
  <c r="I130" i="10"/>
  <c r="I135" i="10" s="1"/>
  <c r="I154" i="10"/>
  <c r="I153" i="10"/>
  <c r="I152" i="10"/>
  <c r="I151" i="10"/>
  <c r="I134" i="10"/>
  <c r="I143" i="10"/>
  <c r="I146" i="10"/>
  <c r="I147" i="10"/>
  <c r="I145" i="10"/>
  <c r="I142" i="10"/>
  <c r="I131" i="10"/>
  <c r="I139" i="10"/>
  <c r="I148" i="10" s="1"/>
  <c r="H157" i="10"/>
  <c r="K127" i="10"/>
  <c r="J138" i="10"/>
  <c r="H135" i="10"/>
  <c r="H158" i="10" s="1"/>
  <c r="F8" i="9"/>
  <c r="G8" i="9" s="1"/>
  <c r="H8" i="9" s="1"/>
  <c r="I8" i="9" s="1"/>
  <c r="J8" i="9" s="1"/>
  <c r="H60" i="10"/>
  <c r="H47" i="10"/>
  <c r="L86" i="10"/>
  <c r="M86" i="10"/>
  <c r="J111" i="10"/>
  <c r="I51" i="10"/>
  <c r="I41" i="10"/>
  <c r="I57" i="10"/>
  <c r="I46" i="10"/>
  <c r="I53" i="10"/>
  <c r="I50" i="10"/>
  <c r="I42" i="10"/>
  <c r="I37" i="10"/>
  <c r="I33" i="10"/>
  <c r="I24" i="10"/>
  <c r="I59" i="10"/>
  <c r="I58" i="10"/>
  <c r="I30" i="10"/>
  <c r="I10" i="10"/>
  <c r="I36" i="10"/>
  <c r="I26" i="10"/>
  <c r="I16" i="10"/>
  <c r="I27" i="10"/>
  <c r="I17" i="10"/>
  <c r="I35" i="10"/>
  <c r="I31" i="10"/>
  <c r="I32" i="10"/>
  <c r="I56" i="10"/>
  <c r="I45" i="10"/>
  <c r="I18" i="10"/>
  <c r="I13" i="10"/>
  <c r="I44" i="10"/>
  <c r="I39" i="10"/>
  <c r="I55" i="10"/>
  <c r="I43" i="10"/>
  <c r="I38" i="10"/>
  <c r="I14" i="10"/>
  <c r="I52" i="10"/>
  <c r="I40" i="10"/>
  <c r="I22" i="10"/>
  <c r="I12" i="10"/>
  <c r="I11" i="10"/>
  <c r="I9" i="10"/>
  <c r="I28" i="10"/>
  <c r="I25" i="10"/>
  <c r="K110" i="10"/>
  <c r="K109" i="10"/>
  <c r="K108" i="10"/>
  <c r="K107" i="10"/>
  <c r="K106" i="10"/>
  <c r="K105" i="10"/>
  <c r="K104" i="10"/>
  <c r="K100" i="10"/>
  <c r="K99" i="10"/>
  <c r="K98" i="10"/>
  <c r="K97" i="10"/>
  <c r="K96" i="10"/>
  <c r="K95" i="10"/>
  <c r="K94" i="10"/>
  <c r="K93" i="10"/>
  <c r="K91" i="10"/>
  <c r="K90" i="10"/>
  <c r="K88" i="10"/>
  <c r="K87" i="10"/>
  <c r="K85" i="10"/>
  <c r="K81" i="10"/>
  <c r="K80" i="10"/>
  <c r="K78" i="10"/>
  <c r="K77" i="10"/>
  <c r="K76" i="10"/>
  <c r="J101" i="10"/>
  <c r="J23" i="10"/>
  <c r="J82" i="10"/>
  <c r="H19" i="10"/>
  <c r="C66" i="9"/>
  <c r="D66" i="9" s="1"/>
  <c r="E66" i="9" s="1"/>
  <c r="F66" i="9" s="1"/>
  <c r="G66" i="9" s="1"/>
  <c r="H66" i="9" s="1"/>
  <c r="I66" i="9" s="1"/>
  <c r="J66" i="9" s="1"/>
  <c r="J70" i="9" s="1"/>
  <c r="C34" i="9"/>
  <c r="D34" i="9" s="1"/>
  <c r="E34" i="9" s="1"/>
  <c r="F34" i="9" s="1"/>
  <c r="G34" i="9" s="1"/>
  <c r="H34" i="9" s="1"/>
  <c r="H61" i="10" l="1"/>
  <c r="L127" i="10"/>
  <c r="K138" i="10"/>
  <c r="J139" i="10"/>
  <c r="J148" i="10" s="1"/>
  <c r="J152" i="10"/>
  <c r="J132" i="10"/>
  <c r="J140" i="10"/>
  <c r="J156" i="10"/>
  <c r="J130" i="10"/>
  <c r="J153" i="10"/>
  <c r="J134" i="10"/>
  <c r="J143" i="10"/>
  <c r="J131" i="10"/>
  <c r="J151" i="10"/>
  <c r="J147" i="10"/>
  <c r="J145" i="10"/>
  <c r="J146" i="10"/>
  <c r="J142" i="10"/>
  <c r="J154" i="10"/>
  <c r="I157" i="10"/>
  <c r="I158" i="10" s="1"/>
  <c r="J13" i="9"/>
  <c r="K8" i="9"/>
  <c r="K13" i="9" s="1"/>
  <c r="J68" i="9"/>
  <c r="J69" i="9"/>
  <c r="J74" i="9"/>
  <c r="J73" i="9"/>
  <c r="J82" i="9"/>
  <c r="J80" i="9"/>
  <c r="J75" i="9"/>
  <c r="J71" i="9"/>
  <c r="J81" i="9"/>
  <c r="J78" i="9"/>
  <c r="J72" i="9"/>
  <c r="J76" i="9"/>
  <c r="J79" i="9"/>
  <c r="J77" i="9"/>
  <c r="K111" i="10"/>
  <c r="J112" i="10"/>
  <c r="K82" i="10"/>
  <c r="L110" i="10"/>
  <c r="L109" i="10"/>
  <c r="L108" i="10"/>
  <c r="L107" i="10"/>
  <c r="L106" i="10"/>
  <c r="L105" i="10"/>
  <c r="L104" i="10"/>
  <c r="L100" i="10"/>
  <c r="L99" i="10"/>
  <c r="L98" i="10"/>
  <c r="L97" i="10"/>
  <c r="L96" i="10"/>
  <c r="L95" i="10"/>
  <c r="L94" i="10"/>
  <c r="L93" i="10"/>
  <c r="L91" i="10"/>
  <c r="L90" i="10"/>
  <c r="L88" i="10"/>
  <c r="L87" i="10"/>
  <c r="L85" i="10"/>
  <c r="L81" i="10"/>
  <c r="L80" i="10"/>
  <c r="L78" i="10"/>
  <c r="L77" i="10"/>
  <c r="L76" i="10"/>
  <c r="I19" i="10"/>
  <c r="I60" i="10"/>
  <c r="K23" i="10"/>
  <c r="M110" i="10"/>
  <c r="M109" i="10"/>
  <c r="M108" i="10"/>
  <c r="M107" i="10"/>
  <c r="M106" i="10"/>
  <c r="M105" i="10"/>
  <c r="M104" i="10"/>
  <c r="M100" i="10"/>
  <c r="M99" i="10"/>
  <c r="M98" i="10"/>
  <c r="M97" i="10"/>
  <c r="M96" i="10"/>
  <c r="M95" i="10"/>
  <c r="M94" i="10"/>
  <c r="M93" i="10"/>
  <c r="M91" i="10"/>
  <c r="M90" i="10"/>
  <c r="M88" i="10"/>
  <c r="M87" i="10"/>
  <c r="M85" i="10"/>
  <c r="M81" i="10"/>
  <c r="M80" i="10"/>
  <c r="M78" i="10"/>
  <c r="M77" i="10"/>
  <c r="M76" i="10"/>
  <c r="K101" i="10"/>
  <c r="J57" i="10"/>
  <c r="J46" i="10"/>
  <c r="J38" i="10"/>
  <c r="J53" i="10"/>
  <c r="J59" i="10"/>
  <c r="J50" i="10"/>
  <c r="J58" i="10"/>
  <c r="J30" i="10"/>
  <c r="J41" i="10"/>
  <c r="J36" i="10"/>
  <c r="J26" i="10"/>
  <c r="J16" i="10"/>
  <c r="J52" i="10"/>
  <c r="J51" i="10"/>
  <c r="J40" i="10"/>
  <c r="J32" i="10"/>
  <c r="J12" i="10"/>
  <c r="J42" i="10"/>
  <c r="J37" i="10"/>
  <c r="J33" i="10"/>
  <c r="J24" i="10"/>
  <c r="J13" i="10"/>
  <c r="J45" i="10"/>
  <c r="J18" i="10"/>
  <c r="J44" i="10"/>
  <c r="J28" i="10"/>
  <c r="J25" i="10"/>
  <c r="J10" i="10"/>
  <c r="J55" i="10"/>
  <c r="J43" i="10"/>
  <c r="J14" i="10"/>
  <c r="J27" i="10"/>
  <c r="J22" i="10"/>
  <c r="J31" i="10"/>
  <c r="J9" i="10"/>
  <c r="J39" i="10"/>
  <c r="J56" i="10"/>
  <c r="J11" i="10"/>
  <c r="J35" i="10"/>
  <c r="J17" i="10"/>
  <c r="I47" i="10"/>
  <c r="J157" i="10" l="1"/>
  <c r="K151" i="10"/>
  <c r="K134" i="10"/>
  <c r="K147" i="10"/>
  <c r="K132" i="10"/>
  <c r="K146" i="10"/>
  <c r="K145" i="10"/>
  <c r="K142" i="10"/>
  <c r="K156" i="10"/>
  <c r="K143" i="10"/>
  <c r="K131" i="10"/>
  <c r="K130" i="10"/>
  <c r="K154" i="10"/>
  <c r="K153" i="10"/>
  <c r="K140" i="10"/>
  <c r="K148" i="10" s="1"/>
  <c r="K152" i="10"/>
  <c r="K139" i="10"/>
  <c r="J135" i="10"/>
  <c r="J158" i="10" s="1"/>
  <c r="M127" i="10"/>
  <c r="M138" i="10" s="1"/>
  <c r="L138" i="10"/>
  <c r="J83" i="9"/>
  <c r="K19" i="9"/>
  <c r="K12" i="9"/>
  <c r="K16" i="9"/>
  <c r="K18" i="9"/>
  <c r="K17" i="9"/>
  <c r="K14" i="9"/>
  <c r="K11" i="9"/>
  <c r="K10" i="9"/>
  <c r="K20" i="9" s="1"/>
  <c r="K15" i="9"/>
  <c r="J10" i="9"/>
  <c r="J19" i="9"/>
  <c r="J12" i="9"/>
  <c r="J17" i="9"/>
  <c r="J15" i="9"/>
  <c r="J11" i="9"/>
  <c r="J14" i="9"/>
  <c r="J16" i="9"/>
  <c r="J18" i="9"/>
  <c r="J19" i="10"/>
  <c r="L82" i="10"/>
  <c r="K53" i="10"/>
  <c r="K43" i="10"/>
  <c r="K59" i="10"/>
  <c r="K50" i="10"/>
  <c r="K56" i="10"/>
  <c r="K45" i="10"/>
  <c r="K41" i="10"/>
  <c r="K36" i="10"/>
  <c r="K26" i="10"/>
  <c r="K52" i="10"/>
  <c r="K51" i="10"/>
  <c r="K40" i="10"/>
  <c r="K32" i="10"/>
  <c r="K12" i="10"/>
  <c r="K35" i="10"/>
  <c r="K28" i="10"/>
  <c r="K18" i="10"/>
  <c r="K9" i="10"/>
  <c r="K58" i="10"/>
  <c r="K57" i="10"/>
  <c r="K30" i="10"/>
  <c r="K10" i="10"/>
  <c r="K16" i="10"/>
  <c r="K55" i="10"/>
  <c r="K14" i="10"/>
  <c r="K13" i="10"/>
  <c r="K44" i="10"/>
  <c r="K39" i="10"/>
  <c r="K46" i="10"/>
  <c r="K17" i="10"/>
  <c r="K38" i="10"/>
  <c r="K31" i="10"/>
  <c r="K24" i="10"/>
  <c r="K25" i="10"/>
  <c r="K37" i="10"/>
  <c r="K27" i="10"/>
  <c r="K11" i="10"/>
  <c r="K42" i="10"/>
  <c r="K33" i="10"/>
  <c r="K22" i="10"/>
  <c r="L101" i="10"/>
  <c r="M101" i="10"/>
  <c r="M82" i="10"/>
  <c r="L111" i="10"/>
  <c r="K112" i="10"/>
  <c r="I61" i="10"/>
  <c r="J47" i="10"/>
  <c r="J60" i="10"/>
  <c r="M111" i="10"/>
  <c r="L23" i="10"/>
  <c r="L151" i="10" l="1"/>
  <c r="L134" i="10"/>
  <c r="L145" i="10"/>
  <c r="L130" i="10"/>
  <c r="L154" i="10"/>
  <c r="L142" i="10"/>
  <c r="L147" i="10"/>
  <c r="L132" i="10"/>
  <c r="L146" i="10"/>
  <c r="L131" i="10"/>
  <c r="L156" i="10"/>
  <c r="L143" i="10"/>
  <c r="L153" i="10"/>
  <c r="L140" i="10"/>
  <c r="L152" i="10"/>
  <c r="L139" i="10"/>
  <c r="L148" i="10" s="1"/>
  <c r="M145" i="10"/>
  <c r="M130" i="10"/>
  <c r="M134" i="10"/>
  <c r="M156" i="10"/>
  <c r="M143" i="10"/>
  <c r="M154" i="10"/>
  <c r="M153" i="10"/>
  <c r="M139" i="10"/>
  <c r="M142" i="10"/>
  <c r="M140" i="10"/>
  <c r="M151" i="10"/>
  <c r="M147" i="10"/>
  <c r="M132" i="10"/>
  <c r="M146" i="10"/>
  <c r="M131" i="10"/>
  <c r="M152" i="10"/>
  <c r="K157" i="10"/>
  <c r="K135" i="10"/>
  <c r="K158" i="10" s="1"/>
  <c r="J20" i="9"/>
  <c r="M112" i="10"/>
  <c r="L112" i="10"/>
  <c r="J61" i="10"/>
  <c r="M23" i="10"/>
  <c r="K60" i="10"/>
  <c r="L59" i="10"/>
  <c r="L50" i="10"/>
  <c r="L40" i="10"/>
  <c r="L56" i="10"/>
  <c r="L45" i="10"/>
  <c r="L52" i="10"/>
  <c r="L51" i="10"/>
  <c r="L32" i="10"/>
  <c r="L35" i="10"/>
  <c r="L28" i="10"/>
  <c r="L18" i="10"/>
  <c r="L9" i="10"/>
  <c r="L44" i="10"/>
  <c r="L39" i="10"/>
  <c r="L25" i="10"/>
  <c r="L14" i="10"/>
  <c r="L41" i="10"/>
  <c r="L36" i="10"/>
  <c r="L26" i="10"/>
  <c r="L16" i="10"/>
  <c r="L43" i="10"/>
  <c r="L38" i="10"/>
  <c r="L31" i="10"/>
  <c r="L53" i="10"/>
  <c r="L11" i="10"/>
  <c r="L37" i="10"/>
  <c r="L17" i="10"/>
  <c r="L33" i="10"/>
  <c r="L12" i="10"/>
  <c r="L27" i="10"/>
  <c r="L58" i="10"/>
  <c r="L57" i="10"/>
  <c r="L24" i="10"/>
  <c r="L10" i="10"/>
  <c r="L42" i="10"/>
  <c r="L55" i="10"/>
  <c r="L30" i="10"/>
  <c r="L13" i="10"/>
  <c r="L22" i="10"/>
  <c r="L46" i="10"/>
  <c r="K19" i="10"/>
  <c r="K47" i="10"/>
  <c r="M135" i="10" l="1"/>
  <c r="L135" i="10"/>
  <c r="M157" i="10"/>
  <c r="M148" i="10"/>
  <c r="L157" i="10"/>
  <c r="L158" i="10" s="1"/>
  <c r="L60" i="10"/>
  <c r="M56" i="10"/>
  <c r="M45" i="10"/>
  <c r="M37" i="10"/>
  <c r="M52" i="10"/>
  <c r="M58" i="10"/>
  <c r="M59" i="10"/>
  <c r="M40" i="10"/>
  <c r="M35" i="10"/>
  <c r="M28" i="10"/>
  <c r="M44" i="10"/>
  <c r="M39" i="10"/>
  <c r="M25" i="10"/>
  <c r="M14" i="10"/>
  <c r="M55" i="10"/>
  <c r="M53" i="10"/>
  <c r="M31" i="10"/>
  <c r="M22" i="10"/>
  <c r="M11" i="10"/>
  <c r="M51" i="10"/>
  <c r="M50" i="10"/>
  <c r="M32" i="10"/>
  <c r="M12" i="10"/>
  <c r="M18" i="10"/>
  <c r="M27" i="10"/>
  <c r="M57" i="10"/>
  <c r="M24" i="10"/>
  <c r="M9" i="10"/>
  <c r="M16" i="10"/>
  <c r="M10" i="10"/>
  <c r="M46" i="10"/>
  <c r="M30" i="10"/>
  <c r="M13" i="10"/>
  <c r="M41" i="10"/>
  <c r="M36" i="10"/>
  <c r="M42" i="10"/>
  <c r="M33" i="10"/>
  <c r="M43" i="10"/>
  <c r="M38" i="10"/>
  <c r="M26" i="10"/>
  <c r="M17" i="10"/>
  <c r="L19" i="10"/>
  <c r="K61" i="10"/>
  <c r="L47" i="10"/>
  <c r="N23" i="10"/>
  <c r="E7" i="12"/>
  <c r="E8" i="12" s="1"/>
  <c r="B39" i="9"/>
  <c r="B48" i="9" s="1"/>
  <c r="C5" i="15"/>
  <c r="D5" i="15" s="1"/>
  <c r="M158" i="10" l="1"/>
  <c r="N52" i="10"/>
  <c r="N42" i="10"/>
  <c r="N58" i="10"/>
  <c r="N55" i="10"/>
  <c r="N44" i="10"/>
  <c r="N39" i="10"/>
  <c r="N25" i="10"/>
  <c r="N14" i="10"/>
  <c r="N53" i="10"/>
  <c r="N31" i="10"/>
  <c r="N22" i="10"/>
  <c r="N11" i="10"/>
  <c r="N43" i="10"/>
  <c r="N38" i="10"/>
  <c r="N27" i="10"/>
  <c r="N17" i="10"/>
  <c r="N59" i="10"/>
  <c r="N40" i="10"/>
  <c r="N35" i="10"/>
  <c r="N28" i="10"/>
  <c r="N18" i="10"/>
  <c r="N9" i="10"/>
  <c r="N57" i="10"/>
  <c r="N24" i="10"/>
  <c r="N37" i="10"/>
  <c r="N12" i="10"/>
  <c r="N26" i="10"/>
  <c r="N41" i="10"/>
  <c r="N36" i="10"/>
  <c r="N32" i="10"/>
  <c r="N56" i="10"/>
  <c r="N30" i="10"/>
  <c r="N51" i="10"/>
  <c r="N16" i="10"/>
  <c r="N10" i="10"/>
  <c r="N46" i="10"/>
  <c r="N33" i="10"/>
  <c r="N50" i="10"/>
  <c r="N45" i="10"/>
  <c r="N13" i="10"/>
  <c r="M60" i="10"/>
  <c r="M19" i="10"/>
  <c r="M47" i="10"/>
  <c r="O23" i="10"/>
  <c r="P23" i="10"/>
  <c r="L61" i="10"/>
  <c r="F7" i="12"/>
  <c r="F8" i="12" s="1"/>
  <c r="E5" i="15"/>
  <c r="N19" i="10" l="1"/>
  <c r="N60" i="10"/>
  <c r="P55" i="10"/>
  <c r="P44" i="10"/>
  <c r="P36" i="10"/>
  <c r="P51" i="10"/>
  <c r="P57" i="10"/>
  <c r="P46" i="10"/>
  <c r="P43" i="10"/>
  <c r="P38" i="10"/>
  <c r="P27" i="10"/>
  <c r="P17" i="10"/>
  <c r="P45" i="10"/>
  <c r="P33" i="10"/>
  <c r="P24" i="10"/>
  <c r="P13" i="10"/>
  <c r="P56" i="10"/>
  <c r="P42" i="10"/>
  <c r="P37" i="10"/>
  <c r="P30" i="10"/>
  <c r="P10" i="10"/>
  <c r="P53" i="10"/>
  <c r="P52" i="10"/>
  <c r="P39" i="10"/>
  <c r="P31" i="10"/>
  <c r="P22" i="10"/>
  <c r="P11" i="10"/>
  <c r="P16" i="10"/>
  <c r="P9" i="10"/>
  <c r="P25" i="10"/>
  <c r="P59" i="10"/>
  <c r="P32" i="10"/>
  <c r="P12" i="10"/>
  <c r="P28" i="10"/>
  <c r="P50" i="10"/>
  <c r="P26" i="10"/>
  <c r="P58" i="10"/>
  <c r="P40" i="10"/>
  <c r="P18" i="10"/>
  <c r="P41" i="10"/>
  <c r="P14" i="10"/>
  <c r="P35" i="10"/>
  <c r="O58" i="10"/>
  <c r="O39" i="10"/>
  <c r="O55" i="10"/>
  <c r="O44" i="10"/>
  <c r="O51" i="10"/>
  <c r="O53" i="10"/>
  <c r="O52" i="10"/>
  <c r="O31" i="10"/>
  <c r="O22" i="10"/>
  <c r="O43" i="10"/>
  <c r="O38" i="10"/>
  <c r="O27" i="10"/>
  <c r="O17" i="10"/>
  <c r="O46" i="10"/>
  <c r="O45" i="10"/>
  <c r="O33" i="10"/>
  <c r="O24" i="10"/>
  <c r="O13" i="10"/>
  <c r="O25" i="10"/>
  <c r="O14" i="10"/>
  <c r="O41" i="10"/>
  <c r="O36" i="10"/>
  <c r="O11" i="10"/>
  <c r="O16" i="10"/>
  <c r="O10" i="10"/>
  <c r="O9" i="10"/>
  <c r="O42" i="10"/>
  <c r="O37" i="10"/>
  <c r="O59" i="10"/>
  <c r="O32" i="10"/>
  <c r="O56" i="10"/>
  <c r="O28" i="10"/>
  <c r="O30" i="10"/>
  <c r="O50" i="10"/>
  <c r="O26" i="10"/>
  <c r="O35" i="10"/>
  <c r="O57" i="10"/>
  <c r="O18" i="10"/>
  <c r="O12" i="10"/>
  <c r="O40" i="10"/>
  <c r="N47" i="10"/>
  <c r="N61" i="10" s="1"/>
  <c r="M61" i="10"/>
  <c r="G7" i="12"/>
  <c r="G8" i="12" s="1"/>
  <c r="F5" i="15"/>
  <c r="E24" i="13"/>
  <c r="E23" i="13"/>
  <c r="E22" i="13"/>
  <c r="F14" i="13"/>
  <c r="F13" i="13"/>
  <c r="F12" i="13"/>
  <c r="F11" i="13"/>
  <c r="F7" i="13"/>
  <c r="F6" i="13"/>
  <c r="F5" i="13"/>
  <c r="O19" i="10" l="1"/>
  <c r="O47" i="10"/>
  <c r="P60" i="10"/>
  <c r="O60" i="10"/>
  <c r="P47" i="10"/>
  <c r="P19" i="10"/>
  <c r="H7" i="12"/>
  <c r="G5" i="15"/>
  <c r="P61" i="10" l="1"/>
  <c r="O61" i="10"/>
  <c r="E18" i="12"/>
  <c r="I7" i="12"/>
  <c r="H8" i="12"/>
  <c r="H9" i="12" s="1"/>
  <c r="H5" i="15"/>
  <c r="B18" i="12"/>
  <c r="B19" i="12" s="1"/>
  <c r="C18" i="12"/>
  <c r="B7" i="12"/>
  <c r="B8" i="12" s="1"/>
  <c r="B13" i="9"/>
  <c r="B17" i="9" s="1"/>
  <c r="E19" i="12" l="1"/>
  <c r="E20" i="12" s="1"/>
  <c r="F18" i="12"/>
  <c r="I8" i="12"/>
  <c r="I9" i="12" s="1"/>
  <c r="J7" i="12"/>
  <c r="I5" i="15"/>
  <c r="B11" i="9"/>
  <c r="B15" i="9"/>
  <c r="B18" i="9"/>
  <c r="B16" i="9"/>
  <c r="B19" i="9"/>
  <c r="B14" i="9"/>
  <c r="C19" i="12"/>
  <c r="C7" i="12"/>
  <c r="C8" i="12" s="1"/>
  <c r="D7" i="12"/>
  <c r="D8" i="12" s="1"/>
  <c r="B9" i="12"/>
  <c r="B20" i="12"/>
  <c r="F19" i="12" l="1"/>
  <c r="F20" i="12" s="1"/>
  <c r="G18" i="12"/>
  <c r="J8" i="12"/>
  <c r="J9" i="12" s="1"/>
  <c r="K7" i="12"/>
  <c r="L7" i="12"/>
  <c r="F9" i="12"/>
  <c r="E9" i="12"/>
  <c r="G9" i="12"/>
  <c r="J5" i="15"/>
  <c r="D18" i="12"/>
  <c r="D19" i="12" s="1"/>
  <c r="D20" i="12" s="1"/>
  <c r="C20" i="12"/>
  <c r="D9" i="12"/>
  <c r="C9" i="12"/>
  <c r="G19" i="12" l="1"/>
  <c r="G20" i="12" s="1"/>
  <c r="H18" i="12"/>
  <c r="K8" i="12"/>
  <c r="K9" i="12" s="1"/>
  <c r="L8" i="12"/>
  <c r="L9" i="12" s="1"/>
  <c r="H19" i="12" l="1"/>
  <c r="H20" i="12" s="1"/>
  <c r="I18" i="12"/>
  <c r="I19" i="12" l="1"/>
  <c r="I20" i="12" s="1"/>
  <c r="J18" i="12"/>
  <c r="J19" i="12" s="1"/>
  <c r="J20" i="12" l="1"/>
  <c r="L18" i="12"/>
  <c r="K18" i="12"/>
  <c r="K19" i="12" l="1"/>
  <c r="K20" i="12" s="1"/>
  <c r="L19" i="12"/>
  <c r="L20" i="12" s="1"/>
  <c r="B70" i="9" l="1"/>
  <c r="B36" i="9"/>
  <c r="B79" i="9" l="1"/>
  <c r="B76" i="9"/>
  <c r="B77" i="9"/>
  <c r="B54" i="9"/>
  <c r="B53" i="9"/>
  <c r="B52" i="9"/>
  <c r="B51" i="9"/>
  <c r="B50" i="9"/>
  <c r="B49" i="9"/>
  <c r="B47" i="9"/>
  <c r="B46" i="9"/>
  <c r="B45" i="9"/>
  <c r="B44" i="9"/>
  <c r="B43" i="9"/>
  <c r="B42" i="9"/>
  <c r="B41" i="9"/>
  <c r="B40" i="9"/>
  <c r="B38" i="9"/>
  <c r="B37" i="9"/>
  <c r="B68" i="9"/>
  <c r="B82" i="9"/>
  <c r="B81" i="9"/>
  <c r="B80" i="9"/>
  <c r="B78" i="9"/>
  <c r="B75" i="9"/>
  <c r="B74" i="9"/>
  <c r="B73" i="9"/>
  <c r="B72" i="9"/>
  <c r="B71" i="9"/>
  <c r="B21" i="8"/>
  <c r="B9" i="8"/>
  <c r="C21" i="8"/>
  <c r="B23" i="8" l="1"/>
  <c r="B24" i="8"/>
  <c r="C70" i="9"/>
  <c r="C77" i="9" s="1"/>
  <c r="E39" i="9"/>
  <c r="E48" i="9" s="1"/>
  <c r="D39" i="9"/>
  <c r="D48" i="9" s="1"/>
  <c r="C39" i="9"/>
  <c r="C48" i="9" s="1"/>
  <c r="C13" i="9"/>
  <c r="D13" i="9"/>
  <c r="B22" i="8"/>
  <c r="F39" i="9" l="1"/>
  <c r="D21" i="8"/>
  <c r="E53" i="9"/>
  <c r="E51" i="9"/>
  <c r="E49" i="9"/>
  <c r="E46" i="9"/>
  <c r="E44" i="9"/>
  <c r="E42" i="9"/>
  <c r="E40" i="9"/>
  <c r="E36" i="9"/>
  <c r="E54" i="9"/>
  <c r="E52" i="9"/>
  <c r="E50" i="9"/>
  <c r="E47" i="9"/>
  <c r="E45" i="9"/>
  <c r="E43" i="9"/>
  <c r="E41" i="9"/>
  <c r="E37" i="9"/>
  <c r="D18" i="9"/>
  <c r="D15" i="9"/>
  <c r="D11" i="9"/>
  <c r="D19" i="9"/>
  <c r="D16" i="9"/>
  <c r="D12" i="9"/>
  <c r="D17" i="9"/>
  <c r="D14" i="9"/>
  <c r="D10" i="9"/>
  <c r="C18" i="9"/>
  <c r="C15" i="9"/>
  <c r="C11" i="9"/>
  <c r="C14" i="9"/>
  <c r="C19" i="9"/>
  <c r="C16" i="9"/>
  <c r="C12" i="9"/>
  <c r="C17" i="9"/>
  <c r="C10" i="9"/>
  <c r="C36" i="9"/>
  <c r="C50" i="9"/>
  <c r="C47" i="9"/>
  <c r="C43" i="9"/>
  <c r="C51" i="9"/>
  <c r="C54" i="9"/>
  <c r="C52" i="9"/>
  <c r="C45" i="9"/>
  <c r="C41" i="9"/>
  <c r="C37" i="9"/>
  <c r="C53" i="9"/>
  <c r="C49" i="9"/>
  <c r="C46" i="9"/>
  <c r="C40" i="9"/>
  <c r="C42" i="9"/>
  <c r="C44" i="9"/>
  <c r="C80" i="9"/>
  <c r="C76" i="9"/>
  <c r="C73" i="9"/>
  <c r="C71" i="9"/>
  <c r="C72" i="9"/>
  <c r="C69" i="9"/>
  <c r="C81" i="9"/>
  <c r="C78" i="9"/>
  <c r="C74" i="9"/>
  <c r="C82" i="9"/>
  <c r="C79" i="9"/>
  <c r="C75" i="9"/>
  <c r="C68" i="9"/>
  <c r="D53" i="9"/>
  <c r="D51" i="9"/>
  <c r="D49" i="9"/>
  <c r="D46" i="9"/>
  <c r="D44" i="9"/>
  <c r="D42" i="9"/>
  <c r="D40" i="9"/>
  <c r="D36" i="9"/>
  <c r="D54" i="9"/>
  <c r="D52" i="9"/>
  <c r="D50" i="9"/>
  <c r="D47" i="9"/>
  <c r="D45" i="9"/>
  <c r="D43" i="9"/>
  <c r="D41" i="9"/>
  <c r="D37" i="9"/>
  <c r="D70" i="9"/>
  <c r="D77" i="9" s="1"/>
  <c r="C38" i="9"/>
  <c r="D38" i="9"/>
  <c r="E13" i="9"/>
  <c r="B55" i="9"/>
  <c r="B20" i="9"/>
  <c r="B20" i="8"/>
  <c r="B19" i="8"/>
  <c r="F42" i="9" l="1"/>
  <c r="F48" i="9"/>
  <c r="F54" i="9"/>
  <c r="F46" i="9"/>
  <c r="F49" i="9"/>
  <c r="F47" i="9"/>
  <c r="F50" i="9"/>
  <c r="F37" i="9"/>
  <c r="F40" i="9"/>
  <c r="F41" i="9"/>
  <c r="F44" i="9"/>
  <c r="F43" i="9"/>
  <c r="F45" i="9"/>
  <c r="F51" i="9"/>
  <c r="F52" i="9"/>
  <c r="F53" i="9"/>
  <c r="F36" i="9"/>
  <c r="G39" i="9"/>
  <c r="G48" i="9" s="1"/>
  <c r="C9" i="8"/>
  <c r="C13" i="8" s="1"/>
  <c r="E21" i="8"/>
  <c r="E17" i="9"/>
  <c r="E14" i="9"/>
  <c r="E10" i="9"/>
  <c r="E16" i="9"/>
  <c r="E12" i="9"/>
  <c r="E18" i="9"/>
  <c r="E15" i="9"/>
  <c r="E11" i="9"/>
  <c r="E19" i="9"/>
  <c r="D68" i="9"/>
  <c r="D80" i="9"/>
  <c r="D76" i="9"/>
  <c r="D73" i="9"/>
  <c r="D69" i="9"/>
  <c r="D81" i="9"/>
  <c r="D78" i="9"/>
  <c r="D74" i="9"/>
  <c r="D71" i="9"/>
  <c r="D75" i="9"/>
  <c r="D72" i="9"/>
  <c r="D82" i="9"/>
  <c r="D79" i="9"/>
  <c r="E70" i="9"/>
  <c r="E77" i="9" s="1"/>
  <c r="C55" i="9"/>
  <c r="D55" i="9"/>
  <c r="E38" i="9"/>
  <c r="C20" i="9"/>
  <c r="D20" i="9"/>
  <c r="F13" i="9"/>
  <c r="B25" i="8"/>
  <c r="B26" i="8" l="1"/>
  <c r="I9" i="8"/>
  <c r="C7" i="8"/>
  <c r="C10" i="8"/>
  <c r="C8" i="8"/>
  <c r="C12" i="8"/>
  <c r="C11" i="8"/>
  <c r="G41" i="9"/>
  <c r="G42" i="9"/>
  <c r="G51" i="9"/>
  <c r="G37" i="9"/>
  <c r="G40" i="9"/>
  <c r="G52" i="9"/>
  <c r="G50" i="9"/>
  <c r="G49" i="9"/>
  <c r="G46" i="9"/>
  <c r="G54" i="9"/>
  <c r="G36" i="9"/>
  <c r="G53" i="9"/>
  <c r="G45" i="9"/>
  <c r="G43" i="9"/>
  <c r="G44" i="9"/>
  <c r="G47" i="9"/>
  <c r="H39" i="9"/>
  <c r="H48" i="9" s="1"/>
  <c r="F21" i="8"/>
  <c r="E9" i="8"/>
  <c r="D9" i="8"/>
  <c r="E82" i="9"/>
  <c r="E79" i="9"/>
  <c r="E75" i="9"/>
  <c r="E72" i="9"/>
  <c r="E74" i="9"/>
  <c r="E68" i="9"/>
  <c r="E80" i="9"/>
  <c r="E76" i="9"/>
  <c r="E73" i="9"/>
  <c r="E81" i="9"/>
  <c r="E78" i="9"/>
  <c r="E71" i="9"/>
  <c r="E69" i="9"/>
  <c r="F17" i="9"/>
  <c r="F14" i="9"/>
  <c r="F10" i="9"/>
  <c r="F18" i="9"/>
  <c r="F15" i="9"/>
  <c r="F11" i="9"/>
  <c r="F19" i="9"/>
  <c r="F16" i="9"/>
  <c r="F12" i="9"/>
  <c r="F70" i="9"/>
  <c r="F77" i="9" s="1"/>
  <c r="E55" i="9"/>
  <c r="F38" i="9"/>
  <c r="E20" i="9"/>
  <c r="G13" i="9"/>
  <c r="C19" i="8"/>
  <c r="C23" i="8"/>
  <c r="C20" i="8"/>
  <c r="D19" i="8"/>
  <c r="D23" i="8"/>
  <c r="D20" i="8"/>
  <c r="C25" i="8"/>
  <c r="C22" i="8"/>
  <c r="C24" i="8"/>
  <c r="D25" i="8"/>
  <c r="D22" i="8"/>
  <c r="D24" i="8"/>
  <c r="I11" i="8" l="1"/>
  <c r="I12" i="8"/>
  <c r="I8" i="8"/>
  <c r="I7" i="8"/>
  <c r="I10" i="8"/>
  <c r="I13" i="8"/>
  <c r="C14" i="8"/>
  <c r="H45" i="9"/>
  <c r="H46" i="9"/>
  <c r="H40" i="9"/>
  <c r="H36" i="9"/>
  <c r="H43" i="9"/>
  <c r="H44" i="9"/>
  <c r="H41" i="9"/>
  <c r="H42" i="9"/>
  <c r="H54" i="9"/>
  <c r="H53" i="9"/>
  <c r="H51" i="9"/>
  <c r="H37" i="9"/>
  <c r="H47" i="9"/>
  <c r="H49" i="9"/>
  <c r="H52" i="9"/>
  <c r="H50" i="9"/>
  <c r="D7" i="8"/>
  <c r="D12" i="8"/>
  <c r="D10" i="8"/>
  <c r="D13" i="8"/>
  <c r="D8" i="8"/>
  <c r="D11" i="8"/>
  <c r="F9" i="8"/>
  <c r="I21" i="8"/>
  <c r="G21" i="8"/>
  <c r="F82" i="9"/>
  <c r="F79" i="9"/>
  <c r="F75" i="9"/>
  <c r="F72" i="9"/>
  <c r="F68" i="9"/>
  <c r="F80" i="9"/>
  <c r="F76" i="9"/>
  <c r="F73" i="9"/>
  <c r="F81" i="9"/>
  <c r="F69" i="9"/>
  <c r="F78" i="9"/>
  <c r="F74" i="9"/>
  <c r="F71" i="9"/>
  <c r="G19" i="9"/>
  <c r="G16" i="9"/>
  <c r="G12" i="9"/>
  <c r="G11" i="9"/>
  <c r="G17" i="9"/>
  <c r="G14" i="9"/>
  <c r="G10" i="9"/>
  <c r="G15" i="9"/>
  <c r="G18" i="9"/>
  <c r="G70" i="9"/>
  <c r="G77" i="9" s="1"/>
  <c r="F55" i="9"/>
  <c r="G38" i="9"/>
  <c r="H13" i="9"/>
  <c r="F20" i="9"/>
  <c r="E20" i="8"/>
  <c r="E19" i="8"/>
  <c r="E23" i="8"/>
  <c r="C26" i="8"/>
  <c r="D26" i="8"/>
  <c r="E25" i="8"/>
  <c r="E22" i="8"/>
  <c r="E24" i="8"/>
  <c r="E11" i="8"/>
  <c r="E13" i="8"/>
  <c r="E8" i="8"/>
  <c r="E12" i="8"/>
  <c r="E7" i="8"/>
  <c r="E10" i="8"/>
  <c r="I14" i="8" l="1"/>
  <c r="I25" i="8"/>
  <c r="I22" i="8"/>
  <c r="I23" i="8"/>
  <c r="I20" i="8"/>
  <c r="I19" i="8"/>
  <c r="I24" i="8"/>
  <c r="G9" i="8"/>
  <c r="H21" i="8"/>
  <c r="D14" i="8"/>
  <c r="H19" i="9"/>
  <c r="H16" i="9"/>
  <c r="H12" i="9"/>
  <c r="H17" i="9"/>
  <c r="H14" i="9"/>
  <c r="H10" i="9"/>
  <c r="H18" i="9"/>
  <c r="H15" i="9"/>
  <c r="H11" i="9"/>
  <c r="G68" i="9"/>
  <c r="G69" i="9"/>
  <c r="G81" i="9"/>
  <c r="G78" i="9"/>
  <c r="G74" i="9"/>
  <c r="G71" i="9"/>
  <c r="G82" i="9"/>
  <c r="G79" i="9"/>
  <c r="G75" i="9"/>
  <c r="G72" i="9"/>
  <c r="G80" i="9"/>
  <c r="G76" i="9"/>
  <c r="G73" i="9"/>
  <c r="H70" i="9"/>
  <c r="H77" i="9" s="1"/>
  <c r="H38" i="9"/>
  <c r="G55" i="9"/>
  <c r="G20" i="9"/>
  <c r="I13" i="9"/>
  <c r="F20" i="8"/>
  <c r="F19" i="8"/>
  <c r="F23" i="8"/>
  <c r="F24" i="8"/>
  <c r="F25" i="8"/>
  <c r="F22" i="8"/>
  <c r="E26" i="8"/>
  <c r="F12" i="8"/>
  <c r="F7" i="8"/>
  <c r="F11" i="8"/>
  <c r="F13" i="8"/>
  <c r="F8" i="8"/>
  <c r="E14" i="8"/>
  <c r="F10" i="8"/>
  <c r="I26" i="8" l="1"/>
  <c r="H9" i="8"/>
  <c r="I18" i="9"/>
  <c r="I15" i="9"/>
  <c r="I11" i="9"/>
  <c r="I17" i="9"/>
  <c r="I10" i="9"/>
  <c r="I19" i="9"/>
  <c r="I16" i="9"/>
  <c r="I12" i="9"/>
  <c r="I14" i="9"/>
  <c r="H69" i="9"/>
  <c r="H81" i="9"/>
  <c r="H78" i="9"/>
  <c r="H74" i="9"/>
  <c r="H71" i="9"/>
  <c r="H68" i="9"/>
  <c r="H82" i="9"/>
  <c r="H79" i="9"/>
  <c r="H75" i="9"/>
  <c r="H72" i="9"/>
  <c r="H76" i="9"/>
  <c r="H80" i="9"/>
  <c r="H73" i="9"/>
  <c r="I70" i="9"/>
  <c r="H55" i="9"/>
  <c r="H20" i="9"/>
  <c r="G23" i="8"/>
  <c r="G20" i="8"/>
  <c r="G19" i="8"/>
  <c r="F26" i="8"/>
  <c r="G24" i="8"/>
  <c r="G25" i="8"/>
  <c r="G22" i="8"/>
  <c r="G12" i="8"/>
  <c r="G7" i="8"/>
  <c r="G11" i="8"/>
  <c r="G13" i="8"/>
  <c r="G8" i="8"/>
  <c r="G10" i="8"/>
  <c r="F14" i="8"/>
  <c r="I68" i="9" l="1"/>
  <c r="I77" i="9"/>
  <c r="I80" i="9"/>
  <c r="I76" i="9"/>
  <c r="I73" i="9"/>
  <c r="I74" i="9"/>
  <c r="I79" i="9"/>
  <c r="I69" i="9"/>
  <c r="I81" i="9"/>
  <c r="I78" i="9"/>
  <c r="I71" i="9"/>
  <c r="I75" i="9"/>
  <c r="I82" i="9"/>
  <c r="I72" i="9"/>
  <c r="I20" i="9"/>
  <c r="H23" i="8"/>
  <c r="H20" i="8"/>
  <c r="H19" i="8"/>
  <c r="G26" i="8"/>
  <c r="H25" i="8"/>
  <c r="H22" i="8"/>
  <c r="H24" i="8"/>
  <c r="H13" i="8"/>
  <c r="H8" i="8"/>
  <c r="H12" i="8"/>
  <c r="H7" i="8"/>
  <c r="H11" i="8"/>
  <c r="G14" i="8"/>
  <c r="H10" i="8"/>
  <c r="H26" i="8" l="1"/>
  <c r="H14" i="8"/>
  <c r="M15" i="4" l="1"/>
  <c r="M16" i="4"/>
  <c r="M17" i="4"/>
  <c r="M18" i="4"/>
  <c r="M19" i="4"/>
  <c r="M20" i="4"/>
  <c r="M21" i="4"/>
  <c r="M22" i="4"/>
  <c r="M23" i="4"/>
  <c r="M24" i="4"/>
  <c r="M25" i="4"/>
  <c r="M13" i="4"/>
  <c r="M14" i="4"/>
  <c r="M11" i="4"/>
  <c r="M12" i="4"/>
  <c r="K24" i="4" l="1"/>
  <c r="I24" i="4"/>
  <c r="G25" i="4"/>
  <c r="G24" i="4"/>
  <c r="E25" i="4"/>
  <c r="E24" i="4"/>
  <c r="E31" i="4"/>
  <c r="E23" i="4"/>
  <c r="E22" i="4"/>
  <c r="E21" i="4"/>
  <c r="E20" i="4"/>
  <c r="E19" i="4"/>
  <c r="E17" i="4"/>
  <c r="E14" i="4"/>
  <c r="E12" i="4"/>
  <c r="E11" i="4"/>
  <c r="C34" i="4"/>
  <c r="D34" i="4"/>
  <c r="F34" i="4"/>
  <c r="H34" i="4"/>
  <c r="G30" i="4"/>
  <c r="G29" i="4"/>
  <c r="G28" i="4"/>
  <c r="G27" i="4"/>
  <c r="G18" i="4"/>
  <c r="G23" i="4"/>
  <c r="G22" i="4"/>
  <c r="G21" i="4"/>
  <c r="G20" i="4"/>
  <c r="G19" i="4"/>
  <c r="G17" i="4"/>
  <c r="G11" i="4"/>
  <c r="G14" i="4"/>
  <c r="G12" i="4"/>
  <c r="I23" i="4"/>
  <c r="I22" i="4"/>
  <c r="I21" i="4"/>
  <c r="I20" i="4"/>
  <c r="I19" i="4"/>
  <c r="I17" i="4"/>
  <c r="I14" i="4"/>
  <c r="I12" i="4"/>
  <c r="I11" i="4"/>
  <c r="J34" i="4"/>
  <c r="K21" i="4"/>
  <c r="K20" i="4"/>
  <c r="K19" i="4"/>
  <c r="K17" i="4"/>
  <c r="K15" i="4"/>
  <c r="K14" i="4"/>
  <c r="K12" i="4"/>
  <c r="K11" i="4"/>
  <c r="C9" i="4" l="1"/>
  <c r="E23" i="6" l="1"/>
  <c r="E12" i="6"/>
  <c r="E4" i="6"/>
  <c r="E43" i="6" l="1"/>
  <c r="E57" i="6" s="1"/>
  <c r="D43" i="6" l="1"/>
  <c r="D23" i="6"/>
  <c r="D12" i="6"/>
  <c r="D4" i="6"/>
  <c r="C43" i="6"/>
  <c r="C23" i="6"/>
  <c r="C12" i="6"/>
  <c r="C4" i="6"/>
  <c r="C57" i="6" l="1"/>
  <c r="D57" i="6"/>
  <c r="J9" i="4" l="1"/>
  <c r="F9" i="4"/>
  <c r="H9" i="4"/>
  <c r="D9" i="4" l="1"/>
  <c r="B11" i="8" l="1"/>
  <c r="B8" i="8"/>
  <c r="B12" i="8"/>
  <c r="B13" i="8"/>
  <c r="B7" i="8"/>
  <c r="B10" i="8"/>
  <c r="I83" i="9"/>
  <c r="C83" i="9"/>
  <c r="E83" i="9"/>
  <c r="H83" i="9"/>
  <c r="F83" i="9"/>
  <c r="B69" i="9"/>
  <c r="B83" i="9" s="1"/>
  <c r="D83" i="9"/>
  <c r="G83" i="9"/>
  <c r="B14" i="8" l="1"/>
</calcChain>
</file>

<file path=xl/comments1.xml><?xml version="1.0" encoding="utf-8"?>
<comments xmlns="http://schemas.openxmlformats.org/spreadsheetml/2006/main">
  <authors>
    <author>GoodM</author>
  </authors>
  <commentList>
    <comment ref="A8" authorId="0" shapeId="0">
      <text>
        <r>
          <rPr>
            <b/>
            <sz val="9"/>
            <color indexed="81"/>
            <rFont val="Tahoma"/>
            <family val="2"/>
          </rPr>
          <t>GoodM:</t>
        </r>
        <r>
          <rPr>
            <sz val="9"/>
            <color indexed="81"/>
            <rFont val="Tahoma"/>
            <family val="2"/>
          </rPr>
          <t xml:space="preserve">
</t>
        </r>
      </text>
    </comment>
    <comment ref="A75" authorId="0" shapeId="0">
      <text>
        <r>
          <rPr>
            <b/>
            <sz val="9"/>
            <color indexed="81"/>
            <rFont val="Tahoma"/>
            <family val="2"/>
          </rPr>
          <t>GoodM:</t>
        </r>
        <r>
          <rPr>
            <sz val="9"/>
            <color indexed="81"/>
            <rFont val="Tahoma"/>
            <family val="2"/>
          </rPr>
          <t xml:space="preserve">
</t>
        </r>
      </text>
    </comment>
    <comment ref="A129" authorId="0" shapeId="0">
      <text>
        <r>
          <rPr>
            <b/>
            <sz val="9"/>
            <color indexed="81"/>
            <rFont val="Tahoma"/>
            <family val="2"/>
          </rPr>
          <t>GoodM:</t>
        </r>
        <r>
          <rPr>
            <sz val="9"/>
            <color indexed="81"/>
            <rFont val="Tahoma"/>
            <family val="2"/>
          </rPr>
          <t xml:space="preserve">
</t>
        </r>
      </text>
    </comment>
  </commentList>
</comments>
</file>

<file path=xl/sharedStrings.xml><?xml version="1.0" encoding="utf-8"?>
<sst xmlns="http://schemas.openxmlformats.org/spreadsheetml/2006/main" count="914" uniqueCount="426">
  <si>
    <t xml:space="preserve">                                    BẬC
THỂ LOẠI </t>
  </si>
  <si>
    <t>Bậc 1</t>
  </si>
  <si>
    <t>Bậc 2</t>
  </si>
  <si>
    <t>Bậc 3</t>
  </si>
  <si>
    <t>Bậc 4</t>
  </si>
  <si>
    <t>Bậc 5</t>
  </si>
  <si>
    <t>Ghi chú</t>
  </si>
  <si>
    <t xml:space="preserve">- Chỉ đạo nội dung </t>
  </si>
  <si>
    <t>20% KB</t>
  </si>
  <si>
    <t xml:space="preserve">- Chịu trách nhiệm thực hiện </t>
  </si>
  <si>
    <t>- Chịu trách nhiệm kỹ thuật</t>
  </si>
  <si>
    <t>100%</t>
  </si>
  <si>
    <t>- Biên tập</t>
  </si>
  <si>
    <t>70% KB</t>
  </si>
  <si>
    <t>15% KB</t>
  </si>
  <si>
    <t>10% KB</t>
  </si>
  <si>
    <t xml:space="preserve">- Tổ chức sản xuất </t>
  </si>
  <si>
    <t>cộng</t>
  </si>
  <si>
    <t>ĐỀ XUẤT</t>
  </si>
  <si>
    <t>30% KB</t>
  </si>
  <si>
    <t>40% KB</t>
  </si>
  <si>
    <t>HS 3,3</t>
  </si>
  <si>
    <t>HS 3,9</t>
  </si>
  <si>
    <t>HS 4,5</t>
  </si>
  <si>
    <t>HS 5,1</t>
  </si>
  <si>
    <t>HS 5,7</t>
  </si>
  <si>
    <t xml:space="preserve">- Phát thanh viên </t>
  </si>
  <si>
    <t>50% KB</t>
  </si>
  <si>
    <t>STT</t>
  </si>
  <si>
    <t xml:space="preserve">           TÊN CHUYÊN ĐỀ</t>
  </si>
  <si>
    <t xml:space="preserve">   MỨC HIỆN TẠI</t>
  </si>
  <si>
    <t>Mức tối đa cho TP chấm</t>
  </si>
  <si>
    <t>I</t>
  </si>
  <si>
    <t>Bậc 6 khung mới</t>
  </si>
  <si>
    <t>Đảng vì dân- Dân theo Đảng</t>
  </si>
  <si>
    <t>Bảo vệ nền tảng tư tưởng của Đảng</t>
  </si>
  <si>
    <t>Đại biểu dân cử với cử tri</t>
  </si>
  <si>
    <t>Hoa lúa</t>
  </si>
  <si>
    <t>Học bổng ADC</t>
  </si>
  <si>
    <t>VFC- Cánh đồng hội nhập</t>
  </si>
  <si>
    <t>Corteva- Vươn tới thành công</t>
  </si>
  <si>
    <t>II</t>
  </si>
  <si>
    <t>NHÓM 2: khởi điểm bậc 3 (12-&lt;15p)</t>
  </si>
  <si>
    <t>Bậc 5 khung mới</t>
  </si>
  <si>
    <t>Hậu Giang trên đường phát triển</t>
  </si>
  <si>
    <t>Sức mạnh sinh học (Tân Thành)</t>
  </si>
  <si>
    <t>Cây khỏe, nhà nông khỏe (Lúa Vàng)</t>
  </si>
  <si>
    <t>Snewrice- Chọn đúng, trúng mùa</t>
  </si>
  <si>
    <t>Nichino- Đồng hành cùng người trồng lúa</t>
  </si>
  <si>
    <t>Dr Map- Chuyên gia thuốc bệnh, giúp người nông dân</t>
  </si>
  <si>
    <t>Khoa học cho cây trồng (Bayer)</t>
  </si>
  <si>
    <t>Vinarice- Đồng hành nông nghiệp Việt</t>
  </si>
  <si>
    <t>Hộp thư truyền hình</t>
  </si>
  <si>
    <t>Cảm thông và chia sẻ</t>
  </si>
  <si>
    <t>III</t>
  </si>
  <si>
    <t>NHÓM 3: khởi điểm bậc 2 (10-&lt;12p)</t>
  </si>
  <si>
    <t>Bậc 4 khung mới</t>
  </si>
  <si>
    <t>Giới thiệu sách bảo vệ nền tảng tư tưởng của Đảng</t>
  </si>
  <si>
    <t>Nhất nghệ tinh</t>
  </si>
  <si>
    <t>Khỏe cùng HGTV</t>
  </si>
  <si>
    <t>Nông nghiệp bền vững</t>
  </si>
  <si>
    <t>Bảo vệ môi trường và biến đổi khí hậu</t>
  </si>
  <si>
    <t>Chuyên đề Văn hóa- Văn nghệ (không phải tạp chí)</t>
  </si>
  <si>
    <t>Bóng thời gian</t>
  </si>
  <si>
    <t>Khuyến học- Khuyến tài</t>
  </si>
  <si>
    <t>Khoa học Công nghệ</t>
  </si>
  <si>
    <t>Nhịp sống số</t>
  </si>
  <si>
    <t>Khuyến nông Hậu Giang</t>
  </si>
  <si>
    <t>Khát vọng thanh niên</t>
  </si>
  <si>
    <t>Quốc phòng toàn dân</t>
  </si>
  <si>
    <t>Đại đoàn kết toàn dân tộc</t>
  </si>
  <si>
    <t>An ninh Hậu Giang</t>
  </si>
  <si>
    <t>Phụ nữ Hậu Giang</t>
  </si>
  <si>
    <t>Công đoàn</t>
  </si>
  <si>
    <t>Hành trình OCOP</t>
  </si>
  <si>
    <t>IV</t>
  </si>
  <si>
    <t>NHÓM 4: khởi điểm bậc 1 (7-9p)</t>
  </si>
  <si>
    <t>Bậc 3 khung mới</t>
  </si>
  <si>
    <t>Bảo hiểm xã hội toàn dân</t>
  </si>
  <si>
    <t>Thi đua yêu nước- Yêu nước thì phải thi đua</t>
  </si>
  <si>
    <t>Chung tay ngăn ngừa bệnh dại</t>
  </si>
  <si>
    <t>Alo, bác sỹ ơi!</t>
  </si>
  <si>
    <t>Sức khỏe cho mọi nhà</t>
  </si>
  <si>
    <t>Thuế nhà nước</t>
  </si>
  <si>
    <t>Nông thôn mới</t>
  </si>
  <si>
    <t>Học và làm theo đạo đức, phong cách Hồ Chí Minh</t>
  </si>
  <si>
    <t>Dân vận khéo</t>
  </si>
  <si>
    <t>Dân số kế hoạch hóa gia đình</t>
  </si>
  <si>
    <t>Cải cách hành chính</t>
  </si>
  <si>
    <t>Biển đảo quê hương</t>
  </si>
  <si>
    <t>Tổng cộng</t>
  </si>
  <si>
    <t>NHÓM 1: khởi điểm bậc 4 (15p)</t>
  </si>
  <si>
    <r>
      <t xml:space="preserve">ĐỀ XUẤT CÁCH TÍNH CHUYÊN ĐỀ THEO NHUẬN BÚT MỚI </t>
    </r>
    <r>
      <rPr>
        <b/>
        <i/>
        <sz val="14"/>
        <color theme="1"/>
        <rFont val="Times New Roman"/>
        <family val="1"/>
      </rPr>
      <t>(50 chuyên đề)</t>
    </r>
  </si>
  <si>
    <t>ĐỀ XUẤT MỚI</t>
  </si>
  <si>
    <t>Nhuận bút KB, QP</t>
  </si>
  <si>
    <t>NB có quay Flycam</t>
  </si>
  <si>
    <t>300.000đ tiếp nhận đơn thư</t>
  </si>
  <si>
    <r>
      <t xml:space="preserve">Dạy nghề - Giải quyết việc làm - Giảm nghèo </t>
    </r>
    <r>
      <rPr>
        <i/>
        <sz val="14"/>
        <color theme="1"/>
        <rFont val="Times New Roman"/>
        <family val="1"/>
      </rPr>
      <t>(Phát thanh)</t>
    </r>
  </si>
  <si>
    <t>-  Chịu trách nhiệm kỹ thuật</t>
  </si>
  <si>
    <t>- Biên kịch</t>
  </si>
  <si>
    <t>- Quay phim phim trường</t>
  </si>
  <si>
    <t>- Đạo diễn phim trường</t>
  </si>
  <si>
    <t>15% tin bài</t>
  </si>
  <si>
    <t>18%</t>
  </si>
  <si>
    <t>13%</t>
  </si>
  <si>
    <t>Thời sự HG</t>
  </si>
  <si>
    <t>Chức danh</t>
  </si>
  <si>
    <t>Kỹ thuật đồ họa vi tính</t>
  </si>
  <si>
    <t>- Kỹ thuật dựng</t>
  </si>
  <si>
    <t>Tin cộng tác viên (Mekong)</t>
  </si>
  <si>
    <t>PS cộng tác viên (Mekong)</t>
  </si>
  <si>
    <t>Mekong</t>
  </si>
  <si>
    <t xml:space="preserve"> - Tổ chức thực hiện </t>
  </si>
  <si>
    <t xml:space="preserve"> - Truyền thông số</t>
  </si>
  <si>
    <t>20%</t>
  </si>
  <si>
    <t>- Dẫn chương trình chính</t>
  </si>
  <si>
    <t>- Dẫn chương trình phụ</t>
  </si>
  <si>
    <t>Tin nóng</t>
  </si>
  <si>
    <t xml:space="preserve">Khoảnh khắc cuộc sống                                  </t>
  </si>
  <si>
    <t>Thế giới chuyển động</t>
  </si>
  <si>
    <t>Góc nhìn</t>
  </si>
  <si>
    <t>Nhịp sống ngày mới</t>
  </si>
  <si>
    <t>Tiêu điểm chuyển động</t>
  </si>
  <si>
    <t>CĐ Đông tây</t>
  </si>
  <si>
    <t>Bản tin trực tiếp truyền hình</t>
  </si>
  <si>
    <t>Bậc 6</t>
  </si>
  <si>
    <t>Bậc 7</t>
  </si>
  <si>
    <t>Bậc 8</t>
  </si>
  <si>
    <t>- Kịch bản</t>
  </si>
  <si>
    <t>- Quay phim phim trường (nhóm quay phim)</t>
  </si>
  <si>
    <t>- Kỹ thuật dựng (nhóm dựng)</t>
  </si>
  <si>
    <t>Khoán 0,3</t>
  </si>
  <si>
    <t>Tiết mục</t>
  </si>
  <si>
    <t xml:space="preserve">                                    BẬC
CHỨC DANH</t>
  </si>
  <si>
    <t>GHI CHÚ</t>
  </si>
  <si>
    <t>đồng</t>
  </si>
  <si>
    <t xml:space="preserve">Đơn vị tính 1 hệ số : </t>
  </si>
  <si>
    <t>BẢN TIN TRUYỀN HÌNH TRỰC TIẾP</t>
  </si>
  <si>
    <t>Cộng</t>
  </si>
  <si>
    <t>CHƯƠNG TRÌNH TRUYỀN HÌNH THU SẴN</t>
  </si>
  <si>
    <t>BẢN TIN NGẮN THU SẴN</t>
  </si>
  <si>
    <t xml:space="preserve">                                                                          PHỤ LỤC 02</t>
  </si>
  <si>
    <r>
      <t xml:space="preserve">                                                                    </t>
    </r>
    <r>
      <rPr>
        <i/>
        <sz val="12"/>
        <color theme="1"/>
        <rFont val="Times New Roman"/>
        <family val="1"/>
      </rPr>
      <t xml:space="preserve">      (Đính kèm Quyết định số: 72 /QĐ-ĐPTTH  ngày 16  tháng  3  năm 2023)</t>
    </r>
  </si>
  <si>
    <t>A. BAREM THỂ LOẠI : PHÓNG SỰ (NHÓM 3) TRUYỀN HÌNH, THỜI LƯỢNG TỐI ĐA 5 PHÚT</t>
  </si>
  <si>
    <t>ĐVT: đồng</t>
  </si>
  <si>
    <t xml:space="preserve">                                    BẬC
CHỨC DANH </t>
  </si>
  <si>
    <t>Bậc 9</t>
  </si>
  <si>
    <t>Bậc 10</t>
  </si>
  <si>
    <t>Thể loại Phóng sự tối đa 5'</t>
  </si>
  <si>
    <t>- Chỉ đạo nội dung</t>
  </si>
  <si>
    <t>- Chịu trách nhiêm thực hiện</t>
  </si>
  <si>
    <t>- Quay phim</t>
  </si>
  <si>
    <t>- Dựng</t>
  </si>
  <si>
    <t xml:space="preserve">- Ghép nhạc </t>
  </si>
  <si>
    <t>- Đồ họa</t>
  </si>
  <si>
    <t>B. BAREM THỂ LOẠI: PHÓNG SỰ (KÝ); CHÍNH LUẬN (NHÓM 2,3) TRUYỀN HÌNH</t>
  </si>
  <si>
    <t>- Chịu trách nhiệm thực hiện</t>
  </si>
  <si>
    <t xml:space="preserve">- Biên kịch </t>
  </si>
  <si>
    <t xml:space="preserve">- Biên tập </t>
  </si>
  <si>
    <t>- Viết lời bình</t>
  </si>
  <si>
    <t>- Tổng đạo diễn</t>
  </si>
  <si>
    <t>- Đạo diễn</t>
  </si>
  <si>
    <t xml:space="preserve">- Quay phim </t>
  </si>
  <si>
    <t xml:space="preserve">- Phụ quay </t>
  </si>
  <si>
    <t>- Đọc lời bình</t>
  </si>
  <si>
    <t>- Dẫn chương trình</t>
  </si>
  <si>
    <t>- Kỹ thuật âm thanh, ánh sáng hiện trường</t>
  </si>
  <si>
    <t>- Ghép nhạc</t>
  </si>
  <si>
    <t xml:space="preserve">- Đồ họa </t>
  </si>
  <si>
    <t>- Chủ nhiệm</t>
  </si>
  <si>
    <t>C. BAREM THỂ LOẠI CHÍNH LUẬN (NHÓM 2)</t>
  </si>
  <si>
    <t>HS: 3-10 (khung 1-30)</t>
  </si>
  <si>
    <t>- Quay phim chính</t>
  </si>
  <si>
    <t>- Quay phim phụ</t>
  </si>
  <si>
    <t>- Dẫn chương trình phim trường</t>
  </si>
  <si>
    <t>- Dẫn chương trình hiện trường</t>
  </si>
  <si>
    <t>- Kỹ thuật âm thanh, ánh sáng hiện trường</t>
  </si>
  <si>
    <t xml:space="preserve">                  Phát lại không tính thêm nhuận bút</t>
  </si>
  <si>
    <t xml:space="preserve">                  Kỹ thuật âm thanh, ánh sáng hiện trường chỉ áp dụng trong các trường hợp đặc thù</t>
  </si>
  <si>
    <t xml:space="preserve">Giá trị đơn vị hệ số : </t>
  </si>
  <si>
    <t xml:space="preserve">                                                                                             PHỤ LỤC 01</t>
  </si>
  <si>
    <t xml:space="preserve">A. BAREM CHƯƠNG TRÌNH GIAO LƯU NGHỆ THUẬT </t>
  </si>
  <si>
    <t>BAREM CHƯƠNG TRÌNH GIAO LƯU NGHỆ THUẬT</t>
  </si>
  <si>
    <t>I./ NHÂN SỰ CHẾ TÁC</t>
  </si>
  <si>
    <t>CHỨC DANH</t>
  </si>
  <si>
    <t>Số lượng (người)</t>
  </si>
  <si>
    <t>Chỉ đạo nội dung</t>
  </si>
  <si>
    <t>Chịu trách nhiệm thực hiện</t>
  </si>
  <si>
    <t>Chịu trách nhiệm kỹ thuật</t>
  </si>
  <si>
    <t>Chỉ đạo nghệ thuật</t>
  </si>
  <si>
    <t>Tổng Đạo diễn</t>
  </si>
  <si>
    <t>Đạo diễn sân khấu</t>
  </si>
  <si>
    <t>Video clip, trailer</t>
  </si>
  <si>
    <t>theo phụ lục 02</t>
  </si>
  <si>
    <t xml:space="preserve"> Intro</t>
  </si>
  <si>
    <t>khoán</t>
  </si>
  <si>
    <t>background</t>
  </si>
  <si>
    <t>Poster, pano,..</t>
  </si>
  <si>
    <t>CỘNG I</t>
  </si>
  <si>
    <t>II./ EKIP CHƯƠNG TRÌNH</t>
  </si>
  <si>
    <t>Biên tập</t>
  </si>
  <si>
    <t>Kịch bản</t>
  </si>
  <si>
    <t>Dẫn chương trình chính</t>
  </si>
  <si>
    <t>Dẫn chương trình phụ</t>
  </si>
  <si>
    <t>Đạo diễn truyền hình</t>
  </si>
  <si>
    <t>Trợ lý đạo diễn</t>
  </si>
  <si>
    <t xml:space="preserve">Quay phim </t>
  </si>
  <si>
    <t>8.1</t>
  </si>
  <si>
    <t>Quay phim chính</t>
  </si>
  <si>
    <t>8.2</t>
  </si>
  <si>
    <t>8.3</t>
  </si>
  <si>
    <t>Phụ quay</t>
  </si>
  <si>
    <t>8.4</t>
  </si>
  <si>
    <t>Phụ trách Flycam</t>
  </si>
  <si>
    <t>Kỹ thuật</t>
  </si>
  <si>
    <t>9.1</t>
  </si>
  <si>
    <t>Kỹ thuật xe màu chính</t>
  </si>
  <si>
    <t>9.2</t>
  </si>
  <si>
    <t>Kỹ thuật xe màu phụ</t>
  </si>
  <si>
    <t>9.3</t>
  </si>
  <si>
    <t>Hiệu ứng pháo, lửa</t>
  </si>
  <si>
    <t>9.4</t>
  </si>
  <si>
    <t>Kỹ thuật âm thanh chính</t>
  </si>
  <si>
    <t>9.5</t>
  </si>
  <si>
    <t>Kỹ thuật âm thanh phụ</t>
  </si>
  <si>
    <t>9.6</t>
  </si>
  <si>
    <t>Kỹ thuật ánh sáng chính</t>
  </si>
  <si>
    <t>9.7</t>
  </si>
  <si>
    <t>Kỹ thuật ánh sáng phụ</t>
  </si>
  <si>
    <t>9.8</t>
  </si>
  <si>
    <t xml:space="preserve">Dựng minh họa bài hát màn hình Led </t>
  </si>
  <si>
    <t>9.9</t>
  </si>
  <si>
    <t>Kỹ thuật màn hình Led chính</t>
  </si>
  <si>
    <t>9.10</t>
  </si>
  <si>
    <t>Kỹ thuật màn hình Led phụ</t>
  </si>
  <si>
    <t>9.11</t>
  </si>
  <si>
    <t>Đạo diễn trung tâm</t>
  </si>
  <si>
    <t>9.12</t>
  </si>
  <si>
    <t>Kỹ thuật trung tâm</t>
  </si>
  <si>
    <t>CỘNG II</t>
  </si>
  <si>
    <t>III./ TỔ CHỨC THỰC HIỆN VÀ HẬU KỲ</t>
  </si>
  <si>
    <t xml:space="preserve">Chủ nhiệm </t>
  </si>
  <si>
    <t>Tổ chức kỹ thuật</t>
  </si>
  <si>
    <t>Tổ chức sản xuất chính</t>
  </si>
  <si>
    <t xml:space="preserve">Phối hợp tổ chức sản xuất </t>
  </si>
  <si>
    <t>Lễ tân, hậu cần</t>
  </si>
  <si>
    <t>100.000 đồng - 2.000.000đồng</t>
  </si>
  <si>
    <t>Trang trí sân khấu, chạy đạo cụ (phụ trách)</t>
  </si>
  <si>
    <t>6.1</t>
  </si>
  <si>
    <t>Nhóm 1</t>
  </si>
  <si>
    <t>6.2</t>
  </si>
  <si>
    <t>Nhóm 2</t>
  </si>
  <si>
    <t>6.3</t>
  </si>
  <si>
    <t>Nhóm 3</t>
  </si>
  <si>
    <t>Livestream</t>
  </si>
  <si>
    <t>khoán phòng</t>
  </si>
  <si>
    <t>CỘNG III</t>
  </si>
  <si>
    <t>CỘNG I+II+III+:</t>
  </si>
  <si>
    <t>Ghi chú:</t>
  </si>
  <si>
    <t>(Đơn giá trên chỉ đề ra mức nhuận bút 1 người/ chức danh)</t>
  </si>
  <si>
    <t>Chương trình có phát sinh chức danh nào thì tính tiền chức danh đó</t>
  </si>
  <si>
    <t>Đề xuất bậc thấp tính nhuận bút cho các chương trình thu hình, trực tiếp có xe màu, ghi hình máy lẻ, livestream</t>
  </si>
  <si>
    <t>Số lượng người thực hiện do người duyệt kế hoạch quyết định</t>
  </si>
  <si>
    <t>Kỹ thuật trung tâm và đạo diễn trung tâm nếu chương trình tại nhà hát thì không  tính tiền, chỉ tính đối với chương trình bên ngoài tùy độ khó chương trình</t>
  </si>
  <si>
    <t>B. BAREM CHƯƠNG TRÌNH TỌA ĐÀM</t>
  </si>
  <si>
    <t xml:space="preserve">BAREM CHƯƠNG TRÌNH TỌA ĐÀM </t>
  </si>
  <si>
    <t xml:space="preserve">              CHỨC DANH</t>
  </si>
  <si>
    <t xml:space="preserve"> Intro, Background</t>
  </si>
  <si>
    <t xml:space="preserve">                   CHỨC DANH</t>
  </si>
  <si>
    <t xml:space="preserve">Dẫn chương trình </t>
  </si>
  <si>
    <t>60%</t>
  </si>
  <si>
    <t>5.1</t>
  </si>
  <si>
    <t>5.2</t>
  </si>
  <si>
    <t>Kỹ thuật phim trường chính</t>
  </si>
  <si>
    <t>Kỹ thuật phim trường phụ</t>
  </si>
  <si>
    <t>6.4</t>
  </si>
  <si>
    <t>6.5</t>
  </si>
  <si>
    <t xml:space="preserve">Kỹ thuật ánh sáng </t>
  </si>
  <si>
    <t>6.6</t>
  </si>
  <si>
    <t>Kỹ thuật màn hình Led</t>
  </si>
  <si>
    <t>6.7</t>
  </si>
  <si>
    <t>6.8</t>
  </si>
  <si>
    <t>Thư ký (trực điện thoại)</t>
  </si>
  <si>
    <t>Trang trí sân khấu</t>
  </si>
  <si>
    <t>Video clip tính theo bậc phóng sự</t>
  </si>
  <si>
    <t>Đi xe cơ quan thì công tác phí tính theo công lệnh</t>
  </si>
  <si>
    <t>45%</t>
  </si>
  <si>
    <t>Đơn vị 1 hệ số:</t>
  </si>
  <si>
    <t xml:space="preserve">                                                     PHỤ LỤC 03</t>
  </si>
  <si>
    <r>
      <t xml:space="preserve">                                                                    </t>
    </r>
    <r>
      <rPr>
        <i/>
        <sz val="12"/>
        <color rgb="FF000000"/>
        <rFont val="Times New Roman"/>
        <family val="1"/>
      </rPr>
      <t xml:space="preserve">      (Đính kèm Quyết định số: 72 /QĐ-ĐPTTH  ngày 16  tháng  3  năm 2023)</t>
    </r>
  </si>
  <si>
    <t>- Khối trực tiếp</t>
  </si>
  <si>
    <t>+ Ý tưởng</t>
  </si>
  <si>
    <t>+ Đồ họa</t>
  </si>
  <si>
    <t>- Khối quản lý</t>
  </si>
  <si>
    <r>
      <rPr>
        <b/>
        <u/>
        <sz val="12"/>
        <rFont val="Times New Roman"/>
        <family val="1"/>
      </rPr>
      <t>Ghi chú</t>
    </r>
    <r>
      <rPr>
        <b/>
        <sz val="12"/>
        <rFont val="Times New Roman"/>
        <family val="1"/>
      </rPr>
      <t xml:space="preserve">: </t>
    </r>
    <r>
      <rPr>
        <sz val="12"/>
        <rFont val="Times New Roman"/>
        <family val="1"/>
      </rPr>
      <t>Chức danh ý tưởng và đồ họa thuộc khối trực tiếp tỷ lệ % ý tưởng đồ họa do lãnh đạo duyệt thành phẩm phân bổ</t>
    </r>
  </si>
  <si>
    <t>B. BAREM THỂ LOẠI BỘ HÌNH HIỆU CHƯƠNG TRÌNH ( HÌNH HIỆU, IDENT, INTRO….)</t>
  </si>
  <si>
    <t>Hình hiệu kênh</t>
  </si>
  <si>
    <t xml:space="preserve">C. BAREM THỂ LOẠI KHÁC (3D) </t>
  </si>
  <si>
    <t>Đơn vị tính: đồng/ phút</t>
  </si>
  <si>
    <t>Tính theo thời lượng 1 phút</t>
  </si>
  <si>
    <t xml:space="preserve">- Dẫn chương trình </t>
  </si>
  <si>
    <t>- Quay phim</t>
  </si>
  <si>
    <t>Trailer giới thiệu</t>
  </si>
  <si>
    <t>- Dựng - đồ họa- ghép nhạc</t>
  </si>
  <si>
    <t>A. BAREM THỂ LOẠI  BACKGROUND,  NHẠC CẮT</t>
  </si>
  <si>
    <t>D. BAREM THỂ LOẠI TRAILER GIỚI THIỆU CHƯƠNG TRÌNH MỚI, POSTER, POPUP, BẬT GÓC</t>
  </si>
  <si>
    <t>- Kỹ thuật đồ họa vi tính</t>
  </si>
  <si>
    <t>Tin (nhóm 1)</t>
  </si>
  <si>
    <t xml:space="preserve">                                    BẬC
THỂ LOẠI</t>
  </si>
  <si>
    <t xml:space="preserve">Tin </t>
  </si>
  <si>
    <t>- Quay phim hưởng= 70% BT</t>
  </si>
  <si>
    <t>Thể loại: Phóng sự (nhóm 3): Truyền hình</t>
  </si>
  <si>
    <t xml:space="preserve">Phóng sự ngắn </t>
  </si>
  <si>
    <t>Kỹ thuật dựng hưởng 15% tổng nhuận bút tin</t>
  </si>
  <si>
    <t>Kỹ thuật dựng hưởng 15% tổng nhuận bút phóng sự</t>
  </si>
  <si>
    <t>Bán kính từ 10-20 km</t>
  </si>
  <si>
    <t>Bán kính từ 20-40 km</t>
  </si>
  <si>
    <t>Bán kính từ 40-60 km</t>
  </si>
  <si>
    <t>Số xăng được cấp/km</t>
  </si>
  <si>
    <t>Số km</t>
  </si>
  <si>
    <t>Thành tiền (đồng)</t>
  </si>
  <si>
    <t>Giá xăng tại thời điểm ban hành (đồng/lít)</t>
  </si>
  <si>
    <t>Khu vực tính từ trụ sở của Đài</t>
  </si>
  <si>
    <t>Trong tỉnh</t>
  </si>
  <si>
    <t xml:space="preserve">Ngoài tỉnh </t>
  </si>
  <si>
    <t>Khu vực ĐBSCL</t>
  </si>
  <si>
    <t>Khu vực Miền Đông trở ra</t>
  </si>
  <si>
    <t>Phụ cấp lưu trú/ngày</t>
  </si>
  <si>
    <t>Thành tiền (đồng/ngày/ người)</t>
  </si>
  <si>
    <t xml:space="preserve">                      Phụ cấp công tác phí tính theo số ngày và số người thực tế đi làm.</t>
  </si>
  <si>
    <r>
      <rPr>
        <b/>
        <u/>
        <sz val="12"/>
        <rFont val="Times New Roman"/>
        <family val="1"/>
      </rPr>
      <t>Ghi chú</t>
    </r>
    <r>
      <rPr>
        <b/>
        <sz val="12"/>
        <rFont val="Times New Roman"/>
        <family val="1"/>
      </rPr>
      <t xml:space="preserve">:  </t>
    </r>
    <r>
      <rPr>
        <sz val="12"/>
        <rFont val="Times New Roman"/>
        <family val="1"/>
      </rPr>
      <t>tất cả các chương trình nếu đi xe cơ quan thì hưởng phụ cấp lưu trú và thanh toán phòng nghĩ tại nơi công tác theo Quy chế chi tiêu nội bộ</t>
    </r>
  </si>
  <si>
    <t xml:space="preserve">                      Đối với sản phẩm đi nhiều hơn 1 ngày (khu vực ngoài tỉnh) sẽ được cộng thêm phụ cấp lưu trú theo số ngày thực tế và thanh toán phòng nghỉ theo Quy chế chi tiêu nội bộ</t>
  </si>
  <si>
    <r>
      <rPr>
        <b/>
        <i/>
        <u/>
        <sz val="12"/>
        <color theme="1"/>
        <rFont val="Times New Roman"/>
        <family val="1"/>
      </rPr>
      <t>Ghi chú:</t>
    </r>
    <r>
      <rPr>
        <i/>
        <sz val="12"/>
        <color theme="1"/>
        <rFont val="Times New Roman"/>
        <family val="1"/>
      </rPr>
      <t xml:space="preserve"> 0,2 lít/km căn cứ điểm b khoản 2 điều 5 thông tư số 40/2017/TT-BTC quy định chế độ công tác phí, chế độ chi hội nghị</t>
    </r>
  </si>
  <si>
    <r>
      <rPr>
        <b/>
        <u/>
        <sz val="12"/>
        <color theme="1"/>
        <rFont val="Times New Roman"/>
        <family val="1"/>
      </rPr>
      <t>Ghi chú:</t>
    </r>
    <r>
      <rPr>
        <sz val="12"/>
        <color theme="1"/>
        <rFont val="Times New Roman"/>
        <family val="1"/>
      </rPr>
      <t xml:space="preserve">  </t>
    </r>
  </si>
  <si>
    <r>
      <t xml:space="preserve">                                                                    </t>
    </r>
    <r>
      <rPr>
        <i/>
        <sz val="12"/>
        <color theme="1"/>
        <rFont val="Times New Roman"/>
        <family val="1"/>
      </rPr>
      <t xml:space="preserve">      (Đính kèm Quyết định số:   /QĐ-ĐPTTH  ngày  tháng     năm 202 )</t>
    </r>
  </si>
  <si>
    <t>Trợ lý kịch bản</t>
  </si>
  <si>
    <t>Phó đạo diễn</t>
  </si>
  <si>
    <t>Trợ lý sản xuất</t>
  </si>
  <si>
    <t>Hậu cần</t>
  </si>
  <si>
    <t>Quay phim phụ</t>
  </si>
  <si>
    <t>Chủ nhiệm</t>
  </si>
  <si>
    <t>Tổ chức thực hiện</t>
  </si>
  <si>
    <t>Phụ trách tài chính</t>
  </si>
  <si>
    <r>
      <rPr>
        <sz val="7"/>
        <color theme="1"/>
        <rFont val="Times New Roman"/>
        <family val="1"/>
      </rPr>
      <t xml:space="preserve"> </t>
    </r>
    <r>
      <rPr>
        <sz val="11"/>
        <color theme="1"/>
        <rFont val="Calibri"/>
        <family val="2"/>
        <scheme val="minor"/>
      </rPr>
      <t>Cố vấn chuyên môn</t>
    </r>
  </si>
  <si>
    <t>Tổ chức sản xuất</t>
  </si>
  <si>
    <t>Thư ký đạo diễn</t>
  </si>
  <si>
    <r>
      <rPr>
        <sz val="7"/>
        <color theme="1"/>
        <rFont val="Times New Roman"/>
        <family val="1"/>
      </rPr>
      <t xml:space="preserve">  </t>
    </r>
    <r>
      <rPr>
        <sz val="11"/>
        <color theme="1"/>
        <rFont val="Calibri"/>
        <family val="2"/>
        <scheme val="minor"/>
      </rPr>
      <t>Hòa âm</t>
    </r>
  </si>
  <si>
    <t>Thu thanh</t>
  </si>
  <si>
    <r>
      <rPr>
        <sz val="7"/>
        <color theme="1"/>
        <rFont val="Times New Roman"/>
        <family val="1"/>
      </rPr>
      <t xml:space="preserve"> </t>
    </r>
    <r>
      <rPr>
        <sz val="11"/>
        <color theme="1"/>
        <rFont val="Calibri"/>
        <family val="2"/>
        <scheme val="minor"/>
      </rPr>
      <t>Trợ lý thu thanh</t>
    </r>
  </si>
  <si>
    <r>
      <rPr>
        <sz val="7"/>
        <color theme="1"/>
        <rFont val="Times New Roman"/>
        <family val="1"/>
      </rPr>
      <t xml:space="preserve"> </t>
    </r>
    <r>
      <rPr>
        <sz val="11"/>
        <color theme="1"/>
        <rFont val="Calibri"/>
        <family val="2"/>
        <scheme val="minor"/>
      </rPr>
      <t>Dựng phim</t>
    </r>
  </si>
  <si>
    <t>Chỉnh màu</t>
  </si>
  <si>
    <t>Trợ lý dựng phim</t>
  </si>
  <si>
    <r>
      <rPr>
        <sz val="7"/>
        <color theme="1"/>
        <rFont val="Times New Roman"/>
        <family val="1"/>
      </rPr>
      <t xml:space="preserve"> </t>
    </r>
    <r>
      <rPr>
        <sz val="11"/>
        <color theme="1"/>
        <rFont val="Calibri"/>
        <family val="2"/>
        <scheme val="minor"/>
      </rPr>
      <t>Dựng cảnh</t>
    </r>
  </si>
  <si>
    <t>Trực cảnh</t>
  </si>
  <si>
    <r>
      <rPr>
        <sz val="7"/>
        <color theme="1"/>
        <rFont val="Times New Roman"/>
        <family val="1"/>
      </rPr>
      <t xml:space="preserve"> </t>
    </r>
    <r>
      <rPr>
        <sz val="11"/>
        <color theme="1"/>
        <rFont val="Calibri"/>
        <family val="2"/>
        <scheme val="minor"/>
      </rPr>
      <t>Phục trang</t>
    </r>
  </si>
  <si>
    <t>Trợ lý phục trang</t>
  </si>
  <si>
    <r>
      <rPr>
        <sz val="7"/>
        <color theme="1"/>
        <rFont val="Times New Roman"/>
        <family val="1"/>
      </rPr>
      <t xml:space="preserve">  </t>
    </r>
    <r>
      <rPr>
        <sz val="11"/>
        <color theme="1"/>
        <rFont val="Calibri"/>
        <family val="2"/>
        <scheme val="minor"/>
      </rPr>
      <t>Ánh sáng</t>
    </r>
  </si>
  <si>
    <r>
      <rPr>
        <sz val="7"/>
        <color theme="1"/>
        <rFont val="Times New Roman"/>
        <family val="1"/>
      </rPr>
      <t xml:space="preserve">  </t>
    </r>
    <r>
      <rPr>
        <sz val="11"/>
        <color theme="1"/>
        <rFont val="Calibri"/>
        <family val="2"/>
        <scheme val="minor"/>
      </rPr>
      <t>Kỹ thuật ánh sáng</t>
    </r>
  </si>
  <si>
    <r>
      <rPr>
        <sz val="7"/>
        <color theme="1"/>
        <rFont val="Times New Roman"/>
        <family val="1"/>
      </rPr>
      <t xml:space="preserve"> </t>
    </r>
    <r>
      <rPr>
        <sz val="11"/>
        <color theme="1"/>
        <rFont val="Calibri"/>
        <family val="2"/>
        <scheme val="minor"/>
      </rPr>
      <t>Đội xe</t>
    </r>
  </si>
  <si>
    <r>
      <rPr>
        <sz val="7"/>
        <color theme="1"/>
        <rFont val="Times New Roman"/>
        <family val="1"/>
      </rPr>
      <t xml:space="preserve"> </t>
    </r>
    <r>
      <rPr>
        <sz val="11"/>
        <color theme="1"/>
        <rFont val="Calibri"/>
        <family val="2"/>
        <scheme val="minor"/>
      </rPr>
      <t>Cố vấn văn hóa</t>
    </r>
  </si>
  <si>
    <t>Đạo diễn</t>
  </si>
  <si>
    <t>Thiết kế âm thanh</t>
  </si>
  <si>
    <r>
      <rPr>
        <sz val="7"/>
        <color rgb="FFFF0000"/>
        <rFont val="Times New Roman"/>
        <family val="1"/>
      </rPr>
      <t xml:space="preserve"> </t>
    </r>
    <r>
      <rPr>
        <sz val="11"/>
        <color rgb="FFFF0000"/>
        <rFont val="Calibri"/>
        <family val="2"/>
        <scheme val="minor"/>
      </rPr>
      <t>Biên kịch</t>
    </r>
  </si>
  <si>
    <t>Người làm kỹ xảo</t>
  </si>
  <si>
    <t>Dựng phim</t>
  </si>
  <si>
    <r>
      <rPr>
        <sz val="7"/>
        <color rgb="FFFF0000"/>
        <rFont val="Times New Roman"/>
        <family val="1"/>
      </rPr>
      <t xml:space="preserve">  </t>
    </r>
    <r>
      <rPr>
        <sz val="11"/>
        <color rgb="FFFF0000"/>
        <rFont val="Calibri"/>
        <family val="2"/>
        <scheme val="minor"/>
      </rPr>
      <t>Họa sĩ thiết kế</t>
    </r>
  </si>
  <si>
    <r>
      <rPr>
        <sz val="7"/>
        <color rgb="FFFF0000"/>
        <rFont val="Times New Roman"/>
        <family val="1"/>
      </rPr>
      <t xml:space="preserve"> </t>
    </r>
    <r>
      <rPr>
        <sz val="11"/>
        <color rgb="FFFF0000"/>
        <rFont val="Calibri"/>
        <family val="2"/>
        <scheme val="minor"/>
      </rPr>
      <t>Nhạc sĩ</t>
    </r>
  </si>
  <si>
    <r>
      <rPr>
        <sz val="7"/>
        <color rgb="FFFF0000"/>
        <rFont val="Times New Roman"/>
        <family val="1"/>
      </rPr>
      <t xml:space="preserve">  </t>
    </r>
    <r>
      <rPr>
        <sz val="11"/>
        <color rgb="FFFF0000"/>
        <rFont val="Calibri"/>
        <family val="2"/>
        <scheme val="minor"/>
      </rPr>
      <t>Hóa trang</t>
    </r>
  </si>
  <si>
    <t>Giám sát nội dung</t>
  </si>
  <si>
    <t>Giám sát sản xuất</t>
  </si>
  <si>
    <t>Giám đốc sản xuất</t>
  </si>
  <si>
    <r>
      <rPr>
        <sz val="7"/>
        <color theme="1"/>
        <rFont val="Times New Roman"/>
        <family val="1"/>
      </rPr>
      <t> </t>
    </r>
    <r>
      <rPr>
        <sz val="11"/>
        <color theme="1"/>
        <rFont val="Calibri"/>
        <family val="2"/>
        <scheme val="minor"/>
      </rPr>
      <t>Biên tập</t>
    </r>
  </si>
  <si>
    <t>Đạo diễn hình ảnh (DOP)</t>
  </si>
  <si>
    <t>Quay phim</t>
  </si>
  <si>
    <t>Kỹ thuật máy</t>
  </si>
  <si>
    <t>Quản lý dữ liệu</t>
  </si>
  <si>
    <r>
      <rPr>
        <sz val="7"/>
        <color theme="1"/>
        <rFont val="Times New Roman"/>
        <family val="1"/>
      </rPr>
      <t> </t>
    </r>
    <r>
      <rPr>
        <sz val="11"/>
        <color theme="1"/>
        <rFont val="Calibri"/>
        <family val="2"/>
        <scheme val="minor"/>
      </rPr>
      <t>Đạo cụ</t>
    </r>
  </si>
  <si>
    <t>Bậc 11</t>
  </si>
  <si>
    <t>HỆ SỐ TỐI ĐA 30</t>
  </si>
  <si>
    <t xml:space="preserve">                    Đối với sản phẩm được thanh toán chi phí đi lại bằng vé xe, tàu, máy bay…chỉ được thanh toán phụ cấp lưu trú và thanh toán phòng nghỉ theo Quy chế chi tiêu nội bộ</t>
  </si>
  <si>
    <t>Tạp chí</t>
  </si>
  <si>
    <t xml:space="preserve">                  Trailer giới thiệu tạp chí là nhiệm vụ của biên tập, kịch bản</t>
  </si>
  <si>
    <t xml:space="preserve">BAREM THÙ LAO NHUẬN BÚT CHƯƠNG TRÌNH LIVESTREAM </t>
  </si>
  <si>
    <t>BAREM NHUẬN BÚT CHƯƠNG TRÌNH LIVESTREAM</t>
  </si>
  <si>
    <t>theo khung sản phẩm</t>
  </si>
  <si>
    <t>Background chính, trang trí</t>
  </si>
  <si>
    <t>50%</t>
  </si>
  <si>
    <t xml:space="preserve"> 100%</t>
  </si>
  <si>
    <t>40%</t>
  </si>
  <si>
    <t>Kỹ thuật phim trường (+ clip, ánh sáng)</t>
  </si>
  <si>
    <t>Kỹ thuật âm thanh</t>
  </si>
  <si>
    <t>30%</t>
  </si>
  <si>
    <t>5.3</t>
  </si>
  <si>
    <t>Kỹ thuật  kết nối</t>
  </si>
  <si>
    <t xml:space="preserve">30% </t>
  </si>
  <si>
    <t xml:space="preserve"> 60% </t>
  </si>
  <si>
    <t>DUYỆT</t>
  </si>
  <si>
    <t>Chương trình có phát sinh chức danh nào tính tiền chức danh đó</t>
  </si>
  <si>
    <t>Kỹ thuật trung tâm và đạo diễn trung tâm nếu chương trình tại nhà hát thì không tính tiền, chỉ tính đối với chương trình bên ngoài tùy độ khó chương trình</t>
  </si>
  <si>
    <t>CỘNG I+II+III:</t>
  </si>
  <si>
    <t>Ký sự</t>
  </si>
  <si>
    <t>10-30 phút</t>
  </si>
  <si>
    <t>dưới 10 phút</t>
  </si>
  <si>
    <t>- Biên dịch tiếng dân tộc, tiếng nước ngoài</t>
  </si>
  <si>
    <t>Phim tài liệu</t>
  </si>
  <si>
    <t>Tin ảnh trên nền tảng số</t>
  </si>
  <si>
    <t>Ghi chú: đối với tin không có hình ảnh chỉ hưởng chức danh Biên tập</t>
  </si>
  <si>
    <t>- Chụp ảnh</t>
  </si>
  <si>
    <t>2. Phóng sự, clip 8-10 phút</t>
  </si>
  <si>
    <t>- Chịu trách nhiêm kỹ thuật</t>
  </si>
  <si>
    <t>- Dựng -đồ họa- ghép nhạc</t>
  </si>
  <si>
    <t>- Dãn chương trình</t>
  </si>
  <si>
    <t>- Tổ chức sản xuát</t>
  </si>
  <si>
    <t>Poster</t>
  </si>
  <si>
    <t>60-80</t>
  </si>
  <si>
    <t>Đối với phụ cấp tin được hưởng 50% phụ cấp tin/phóng sự theo từng khu vực</t>
  </si>
  <si>
    <t>Phụ cấp khu vực tin/phóng sự:</t>
  </si>
  <si>
    <t>II. PHỤ CẤP CÔNG TÁC PHÍ THỂ LOẠI TIN, PHÓNG SỰ NGẮN,…</t>
  </si>
  <si>
    <t>I. PHỤ CẤP CÔNG TÁC PHÍ THỂ LOẠI TẠP CHÍ, KÝ SỰ, PHIM TÀI LIỆU, TRUYỀN HÌNH TRỰC TIẾP, THU HÌNH, LIVESTREAM…….</t>
  </si>
  <si>
    <t>Thành tiền (đồng/xe)</t>
  </si>
  <si>
    <t>Bán kính từ 60-80 km</t>
  </si>
  <si>
    <t>Bán kính từ 80-120 km</t>
  </si>
  <si>
    <t>MEKONG</t>
  </si>
  <si>
    <t>CĐ</t>
  </si>
  <si>
    <t>NS</t>
  </si>
  <si>
    <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</si>
</sst>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_);_(* \(#,##0\);_(* &quot;-&quot;_);_(@_)"/>
    <numFmt numFmtId="165" formatCode="_(* #,##0.00_);_(* \(#,##0.00\);_(* &quot;-&quot;??_);_(@_)"/>
    <numFmt numFmtId="166" formatCode="_(* #,##0_);_(* \(#,##0\);_(* &quot;-&quot;??_);_(@_)"/>
    <numFmt numFmtId="167" formatCode="#,##0.000"/>
    <numFmt numFmtId="168" formatCode="_(* #,##0.0_);_(* \(#,##0.0\);_(* &quot;-&quot;??_);_(@_)"/>
    <numFmt numFmtId="169" formatCode="0.0"/>
    <numFmt numFmtId="170" formatCode="_(* #,##0.00_);_(* \(#,##0.00\);_(* &quot;-&quot;_);_(@_)"/>
    <numFmt numFmtId="171" formatCode="0.0%"/>
    <numFmt numFmtId="172" formatCode="#,##0&quot;đ&quot;"/>
  </numFmts>
  <fonts count="5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2"/>
      <color theme="1"/>
      <name val="Times New Roman"/>
      <family val="1"/>
    </font>
    <font>
      <sz val="11"/>
      <color theme="1"/>
      <name val="Times New Roman"/>
      <family val="1"/>
    </font>
    <font>
      <sz val="12"/>
      <color theme="1"/>
      <name val="Times New Roman"/>
      <family val="1"/>
    </font>
    <font>
      <sz val="12"/>
      <name val="Times New Roman"/>
      <family val="1"/>
    </font>
    <font>
      <b/>
      <sz val="14"/>
      <color theme="1"/>
      <name val="Times New Roman"/>
      <family val="1"/>
    </font>
    <font>
      <sz val="11"/>
      <color rgb="FFFF0000"/>
      <name val="Times New Roman"/>
      <family val="1"/>
    </font>
    <font>
      <b/>
      <sz val="11"/>
      <color theme="1"/>
      <name val="Calibri"/>
      <family val="2"/>
      <charset val="163"/>
      <scheme val="minor"/>
    </font>
    <font>
      <b/>
      <sz val="11"/>
      <color theme="1"/>
      <name val="Times New Roman"/>
      <family val="1"/>
      <charset val="163"/>
    </font>
    <font>
      <b/>
      <i/>
      <sz val="14"/>
      <color theme="1"/>
      <name val="Times New Roman"/>
      <family val="1"/>
    </font>
    <font>
      <b/>
      <sz val="14"/>
      <name val="Times New Roman"/>
      <family val="1"/>
    </font>
    <font>
      <sz val="14"/>
      <color theme="1"/>
      <name val="Times New Roman"/>
      <family val="1"/>
    </font>
    <font>
      <i/>
      <sz val="14"/>
      <color theme="1"/>
      <name val="Times New Roman"/>
      <family val="1"/>
    </font>
    <font>
      <b/>
      <sz val="13"/>
      <color theme="1"/>
      <name val="Times New Roman"/>
      <family val="1"/>
    </font>
    <font>
      <i/>
      <sz val="12"/>
      <color theme="1"/>
      <name val="Times New Roman"/>
      <family val="1"/>
    </font>
    <font>
      <sz val="13"/>
      <color theme="1"/>
      <name val="Times New Roman"/>
      <family val="1"/>
    </font>
    <font>
      <i/>
      <sz val="13"/>
      <color theme="1"/>
      <name val="Times New Roman"/>
      <family val="1"/>
    </font>
    <font>
      <sz val="13"/>
      <name val="Times New Roman"/>
      <family val="1"/>
    </font>
    <font>
      <b/>
      <sz val="12"/>
      <color rgb="FF0070C0"/>
      <name val="Times New Roman"/>
      <family val="1"/>
    </font>
    <font>
      <b/>
      <sz val="12"/>
      <name val="Times New Roman"/>
      <family val="1"/>
    </font>
    <font>
      <sz val="12"/>
      <color rgb="FF0070C0"/>
      <name val="Times New Roman"/>
      <family val="1"/>
    </font>
    <font>
      <b/>
      <u/>
      <sz val="12"/>
      <name val="Times New Roman"/>
      <family val="1"/>
    </font>
    <font>
      <b/>
      <u/>
      <sz val="12"/>
      <color theme="1"/>
      <name val="Times New Roman"/>
      <family val="1"/>
    </font>
    <font>
      <b/>
      <sz val="12"/>
      <color rgb="FFFF0000"/>
      <name val="Times New Roman"/>
      <family val="1"/>
    </font>
    <font>
      <b/>
      <sz val="12"/>
      <color theme="0"/>
      <name val="Times New Roman"/>
      <family val="1"/>
    </font>
    <font>
      <sz val="12"/>
      <color rgb="FFFF0000"/>
      <name val="Times New Roman"/>
      <family val="1"/>
    </font>
    <font>
      <b/>
      <sz val="9"/>
      <color indexed="81"/>
      <name val="Tahoma"/>
      <family val="2"/>
    </font>
    <font>
      <sz val="9"/>
      <color indexed="81"/>
      <name val="Tahoma"/>
      <family val="2"/>
    </font>
    <font>
      <b/>
      <sz val="12"/>
      <color rgb="FF000000"/>
      <name val="Times New Roman"/>
      <family val="1"/>
    </font>
    <font>
      <i/>
      <sz val="12"/>
      <color rgb="FF000000"/>
      <name val="Times New Roman"/>
      <family val="1"/>
    </font>
    <font>
      <sz val="12"/>
      <color rgb="FF000000"/>
      <name val="Times New Roman"/>
      <family val="1"/>
    </font>
    <font>
      <b/>
      <i/>
      <sz val="12"/>
      <color rgb="FF000000"/>
      <name val="Times New Roman"/>
      <family val="1"/>
    </font>
    <font>
      <b/>
      <sz val="12"/>
      <color rgb="FF000000"/>
      <name val="Calibri"/>
      <family val="2"/>
    </font>
    <font>
      <b/>
      <sz val="12"/>
      <color rgb="FFFFFFFF"/>
      <name val="Calibri"/>
      <family val="2"/>
    </font>
    <font>
      <sz val="12"/>
      <color rgb="FF000000"/>
      <name val="Calibri"/>
      <family val="2"/>
    </font>
    <font>
      <b/>
      <sz val="13"/>
      <color rgb="FF000000"/>
      <name val="Times New Roman"/>
      <family val="1"/>
    </font>
    <font>
      <sz val="13"/>
      <color rgb="FF000000"/>
      <name val="Times New Roman"/>
      <family val="1"/>
    </font>
    <font>
      <sz val="11"/>
      <color theme="1"/>
      <name val="Calibri"/>
      <family val="2"/>
    </font>
    <font>
      <sz val="11"/>
      <color rgb="FF0070C0"/>
      <name val="Times New Roman"/>
      <family val="1"/>
    </font>
    <font>
      <sz val="11"/>
      <color rgb="FF000000"/>
      <name val="Times New Roman"/>
      <family val="1"/>
    </font>
    <font>
      <b/>
      <sz val="11"/>
      <color rgb="FF000000"/>
      <name val="Times New Roman"/>
      <family val="1"/>
    </font>
    <font>
      <b/>
      <sz val="11"/>
      <color rgb="FFFF0000"/>
      <name val="Times New Roman"/>
      <family val="1"/>
    </font>
    <font>
      <b/>
      <i/>
      <u/>
      <sz val="12"/>
      <color theme="1"/>
      <name val="Times New Roman"/>
      <family val="1"/>
    </font>
    <font>
      <b/>
      <sz val="11"/>
      <color rgb="FFFF0000"/>
      <name val="Calibri"/>
      <family val="2"/>
      <scheme val="minor"/>
    </font>
    <font>
      <sz val="7"/>
      <color theme="1"/>
      <name val="Times New Roman"/>
      <family val="1"/>
    </font>
    <font>
      <i/>
      <sz val="11"/>
      <color theme="1"/>
      <name val="Calibri"/>
      <family val="2"/>
      <scheme val="minor"/>
    </font>
    <font>
      <sz val="11"/>
      <color rgb="FFFF0000"/>
      <name val="Calibri"/>
      <family val="2"/>
      <scheme val="minor"/>
    </font>
    <font>
      <sz val="7"/>
      <color rgb="FFFF0000"/>
      <name val="Times New Roman"/>
      <family val="1"/>
    </font>
    <font>
      <sz val="8"/>
      <name val="Calibri"/>
      <family val="2"/>
      <scheme val="minor"/>
    </font>
    <font>
      <b/>
      <sz val="11"/>
      <name val="Times New Roman"/>
      <family val="1"/>
    </font>
    <font>
      <b/>
      <sz val="11"/>
      <color theme="0"/>
      <name val="Times New Roman"/>
      <family val="1"/>
    </font>
    <font>
      <sz val="11"/>
      <name val="Times New Roman"/>
      <family val="1"/>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000000"/>
      </patternFill>
    </fill>
    <fill>
      <patternFill patternType="solid">
        <fgColor theme="3" tint="0.79998168889431442"/>
        <bgColor indexed="64"/>
      </patternFill>
    </fill>
    <fill>
      <patternFill patternType="solid">
        <fgColor rgb="FFFFFF00"/>
        <bgColor rgb="FF000000"/>
      </patternFill>
    </fill>
  </fills>
  <borders count="26">
    <border>
      <left/>
      <right/>
      <top/>
      <bottom/>
      <diagonal/>
    </border>
    <border diagonalDown="1">
      <left style="thin">
        <color indexed="64"/>
      </left>
      <right/>
      <top style="thin">
        <color indexed="64"/>
      </top>
      <bottom/>
      <diagonal style="thin">
        <color indexed="64"/>
      </diagonal>
    </border>
    <border>
      <left style="thin">
        <color indexed="64"/>
      </left>
      <right style="thin">
        <color indexed="64"/>
      </right>
      <top style="thin">
        <color indexed="64"/>
      </top>
      <bottom style="thin">
        <color indexed="64"/>
      </bottom>
      <diagonal/>
    </border>
    <border diagonalDown="1">
      <left style="thin">
        <color indexed="64"/>
      </left>
      <right/>
      <top/>
      <bottom style="thin">
        <color indexed="64"/>
      </bottom>
      <diagonal style="thin">
        <color indexed="64"/>
      </diagonal>
    </border>
    <border>
      <left style="thin">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bottom style="thin">
        <color indexed="64"/>
      </bottom>
      <diagonal style="thin">
        <color indexed="64"/>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165"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705">
    <xf numFmtId="0" fontId="0" fillId="0" borderId="0" xfId="0"/>
    <xf numFmtId="0" fontId="2" fillId="0" borderId="0" xfId="0" applyFont="1"/>
    <xf numFmtId="0" fontId="3" fillId="0" borderId="0" xfId="0" applyFont="1"/>
    <xf numFmtId="3" fontId="3" fillId="0" borderId="0" xfId="0" applyNumberFormat="1" applyFont="1" applyAlignment="1">
      <alignment vertical="top"/>
    </xf>
    <xf numFmtId="0" fontId="3" fillId="0" borderId="2" xfId="0" applyFont="1" applyBorder="1" applyAlignment="1">
      <alignment horizontal="center"/>
    </xf>
    <xf numFmtId="0" fontId="3" fillId="0" borderId="2" xfId="0" applyFont="1" applyBorder="1" applyAlignment="1">
      <alignment horizontal="center" vertical="top" wrapText="1"/>
    </xf>
    <xf numFmtId="0" fontId="3" fillId="0" borderId="4" xfId="0" applyFont="1" applyBorder="1" applyAlignment="1">
      <alignment horizontal="center" vertical="top" wrapText="1"/>
    </xf>
    <xf numFmtId="3" fontId="4" fillId="0" borderId="2" xfId="0" applyNumberFormat="1" applyFont="1" applyBorder="1"/>
    <xf numFmtId="0" fontId="3" fillId="0" borderId="4" xfId="0" applyFont="1" applyBorder="1" applyAlignment="1">
      <alignment horizontal="center" vertical="center"/>
    </xf>
    <xf numFmtId="166" fontId="3" fillId="0" borderId="4" xfId="1" applyNumberFormat="1" applyFont="1" applyBorder="1" applyAlignment="1">
      <alignment horizontal="center" vertical="top" wrapText="1"/>
    </xf>
    <xf numFmtId="0" fontId="3" fillId="0" borderId="8" xfId="0" applyFont="1" applyBorder="1" applyAlignment="1">
      <alignment vertical="center"/>
    </xf>
    <xf numFmtId="0" fontId="0" fillId="2" borderId="0" xfId="0" applyFill="1"/>
    <xf numFmtId="0" fontId="0" fillId="0" borderId="0" xfId="0" applyAlignment="1">
      <alignment horizontal="center"/>
    </xf>
    <xf numFmtId="0" fontId="10" fillId="0" borderId="0" xfId="0" applyFont="1"/>
    <xf numFmtId="3" fontId="4" fillId="0" borderId="2" xfId="0" applyNumberFormat="1" applyFont="1" applyBorder="1" applyAlignment="1">
      <alignment horizontal="center" vertical="center" wrapText="1"/>
    </xf>
    <xf numFmtId="3" fontId="3" fillId="0" borderId="2" xfId="0" applyNumberFormat="1" applyFont="1" applyBorder="1" applyAlignment="1">
      <alignment horizontal="center" vertical="center" wrapText="1"/>
    </xf>
    <xf numFmtId="3" fontId="0" fillId="0" borderId="0" xfId="0" applyNumberFormat="1" applyAlignment="1">
      <alignment horizontal="right"/>
    </xf>
    <xf numFmtId="3" fontId="5" fillId="0" borderId="2" xfId="0" applyNumberFormat="1" applyFont="1" applyBorder="1" applyAlignment="1">
      <alignment horizontal="center" vertical="center" wrapText="1"/>
    </xf>
    <xf numFmtId="3" fontId="11" fillId="0" borderId="2" xfId="0" applyNumberFormat="1" applyFont="1" applyBorder="1" applyAlignment="1">
      <alignment horizontal="center" vertical="center" wrapText="1"/>
    </xf>
    <xf numFmtId="3" fontId="9" fillId="0" borderId="2" xfId="0" applyNumberFormat="1" applyFont="1" applyBorder="1" applyAlignment="1">
      <alignment horizontal="center" vertical="center" wrapText="1"/>
    </xf>
    <xf numFmtId="3" fontId="0" fillId="0" borderId="0" xfId="0" applyNumberFormat="1"/>
    <xf numFmtId="3" fontId="0" fillId="0" borderId="0" xfId="0" applyNumberFormat="1" applyAlignment="1">
      <alignment horizontal="center"/>
    </xf>
    <xf numFmtId="3" fontId="4" fillId="0" borderId="7" xfId="0" applyNumberFormat="1" applyFont="1" applyBorder="1" applyAlignment="1">
      <alignment horizontal="center" vertical="center" wrapText="1"/>
    </xf>
    <xf numFmtId="3" fontId="8" fillId="0" borderId="2" xfId="0" applyNumberFormat="1" applyFont="1" applyBorder="1" applyAlignment="1">
      <alignment horizontal="right" vertical="center" wrapText="1"/>
    </xf>
    <xf numFmtId="3" fontId="14" fillId="0" borderId="2" xfId="0" applyNumberFormat="1" applyFont="1" applyBorder="1" applyAlignment="1">
      <alignment horizontal="right" vertical="center" wrapText="1"/>
    </xf>
    <xf numFmtId="3" fontId="14" fillId="0" borderId="2" xfId="0" applyNumberFormat="1" applyFont="1" applyBorder="1" applyAlignment="1">
      <alignment vertical="center" wrapText="1"/>
    </xf>
    <xf numFmtId="3" fontId="13" fillId="0" borderId="2" xfId="0" applyNumberFormat="1" applyFont="1" applyBorder="1" applyAlignment="1">
      <alignment horizontal="right" vertical="center" wrapText="1"/>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2" xfId="0" applyFont="1" applyBorder="1" applyAlignment="1">
      <alignment vertical="center" wrapText="1"/>
    </xf>
    <xf numFmtId="0" fontId="8" fillId="0" borderId="2" xfId="0" applyFont="1" applyBorder="1" applyAlignment="1">
      <alignment vertical="center" wrapText="1"/>
    </xf>
    <xf numFmtId="3" fontId="4" fillId="0" borderId="10" xfId="0" applyNumberFormat="1" applyFont="1" applyBorder="1" applyAlignment="1">
      <alignment vertical="center" wrapText="1"/>
    </xf>
    <xf numFmtId="0" fontId="14" fillId="0" borderId="2" xfId="0" applyFont="1" applyBorder="1" applyAlignment="1">
      <alignment wrapText="1"/>
    </xf>
    <xf numFmtId="3" fontId="14" fillId="0" borderId="2" xfId="0" applyNumberFormat="1" applyFont="1" applyBorder="1" applyAlignment="1">
      <alignment horizontal="right" wrapText="1"/>
    </xf>
    <xf numFmtId="3" fontId="14" fillId="0" borderId="2" xfId="0" applyNumberFormat="1" applyFont="1" applyBorder="1" applyAlignment="1">
      <alignment wrapText="1"/>
    </xf>
    <xf numFmtId="3" fontId="5" fillId="0" borderId="2" xfId="0" applyNumberFormat="1" applyFont="1" applyBorder="1" applyAlignment="1">
      <alignment horizontal="center" wrapText="1"/>
    </xf>
    <xf numFmtId="3" fontId="14" fillId="3" borderId="2" xfId="0" applyNumberFormat="1" applyFont="1" applyFill="1" applyBorder="1" applyAlignment="1">
      <alignment horizontal="right" vertical="center" wrapText="1"/>
    </xf>
    <xf numFmtId="3" fontId="6" fillId="0" borderId="2" xfId="0" applyNumberFormat="1" applyFont="1" applyBorder="1" applyAlignment="1">
      <alignment horizontal="right" vertical="center" wrapText="1"/>
    </xf>
    <xf numFmtId="0" fontId="3" fillId="0" borderId="11" xfId="0" applyFont="1" applyBorder="1" applyAlignment="1">
      <alignment horizontal="center" vertical="top" wrapText="1"/>
    </xf>
    <xf numFmtId="166" fontId="3" fillId="0" borderId="8" xfId="1" applyNumberFormat="1" applyFont="1" applyBorder="1" applyAlignment="1">
      <alignment horizontal="center" vertical="top" wrapText="1"/>
    </xf>
    <xf numFmtId="0" fontId="3" fillId="0" borderId="7" xfId="0" applyFont="1" applyBorder="1" applyAlignment="1">
      <alignment horizontal="center" vertical="top" wrapText="1"/>
    </xf>
    <xf numFmtId="0" fontId="6" fillId="0" borderId="5" xfId="0" quotePrefix="1" applyFont="1" applyBorder="1" applyAlignment="1">
      <alignment horizontal="left" wrapText="1"/>
    </xf>
    <xf numFmtId="3" fontId="6" fillId="0" borderId="6" xfId="0" applyNumberFormat="1" applyFont="1" applyBorder="1" applyAlignment="1">
      <alignment wrapText="1"/>
    </xf>
    <xf numFmtId="3" fontId="6" fillId="0" borderId="6" xfId="0" applyNumberFormat="1" applyFont="1" applyBorder="1" applyAlignment="1">
      <alignment horizontal="center" wrapText="1"/>
    </xf>
    <xf numFmtId="0" fontId="6" fillId="0" borderId="6" xfId="0" quotePrefix="1" applyFont="1" applyBorder="1"/>
    <xf numFmtId="3" fontId="6" fillId="0" borderId="6" xfId="0" quotePrefix="1" applyNumberFormat="1" applyFont="1" applyBorder="1" applyAlignment="1">
      <alignment horizontal="center" wrapText="1"/>
    </xf>
    <xf numFmtId="0" fontId="7" fillId="0" borderId="5" xfId="0" applyFont="1" applyBorder="1" applyAlignment="1">
      <alignment wrapText="1"/>
    </xf>
    <xf numFmtId="0" fontId="6" fillId="0" borderId="12" xfId="0" quotePrefix="1" applyFont="1" applyBorder="1" applyAlignment="1">
      <alignment horizontal="left" wrapText="1"/>
    </xf>
    <xf numFmtId="3" fontId="6" fillId="0" borderId="13" xfId="0" applyNumberFormat="1" applyFont="1" applyBorder="1" applyAlignment="1">
      <alignment wrapText="1"/>
    </xf>
    <xf numFmtId="3" fontId="6" fillId="0" borderId="13" xfId="0" applyNumberFormat="1" applyFont="1" applyBorder="1" applyAlignment="1">
      <alignment horizontal="center" wrapText="1"/>
    </xf>
    <xf numFmtId="3" fontId="6" fillId="0" borderId="13" xfId="0" quotePrefix="1" applyNumberFormat="1" applyFont="1" applyBorder="1" applyAlignment="1">
      <alignment horizontal="center" wrapText="1"/>
    </xf>
    <xf numFmtId="3" fontId="6" fillId="0" borderId="14" xfId="0" applyNumberFormat="1" applyFont="1" applyBorder="1" applyAlignment="1">
      <alignment wrapText="1"/>
    </xf>
    <xf numFmtId="3" fontId="6" fillId="0" borderId="14" xfId="0" quotePrefix="1" applyNumberFormat="1" applyFont="1" applyBorder="1" applyAlignment="1">
      <alignment horizontal="center" wrapText="1"/>
    </xf>
    <xf numFmtId="3" fontId="6" fillId="0" borderId="14" xfId="0" applyNumberFormat="1" applyFont="1" applyBorder="1" applyAlignment="1">
      <alignment horizontal="center" wrapText="1"/>
    </xf>
    <xf numFmtId="0" fontId="7" fillId="0" borderId="6" xfId="0" applyFont="1" applyBorder="1" applyAlignment="1">
      <alignment wrapText="1"/>
    </xf>
    <xf numFmtId="166" fontId="3" fillId="0" borderId="11" xfId="1" applyNumberFormat="1" applyFont="1" applyBorder="1" applyAlignment="1">
      <alignment horizontal="center" vertical="top" wrapText="1"/>
    </xf>
    <xf numFmtId="166" fontId="3" fillId="0" borderId="2" xfId="1" applyNumberFormat="1" applyFont="1" applyBorder="1" applyAlignment="1">
      <alignment horizontal="center" vertical="top" wrapText="1"/>
    </xf>
    <xf numFmtId="0" fontId="16" fillId="0" borderId="2" xfId="0" applyFont="1" applyBorder="1"/>
    <xf numFmtId="3" fontId="6" fillId="0" borderId="6" xfId="0" applyNumberFormat="1" applyFont="1" applyBorder="1" applyAlignment="1">
      <alignment horizontal="right" wrapText="1"/>
    </xf>
    <xf numFmtId="3" fontId="6" fillId="0" borderId="6" xfId="0" quotePrefix="1" applyNumberFormat="1" applyFont="1" applyBorder="1" applyAlignment="1">
      <alignment horizontal="right" wrapText="1"/>
    </xf>
    <xf numFmtId="3" fontId="6" fillId="0" borderId="13" xfId="0" applyNumberFormat="1" applyFont="1" applyBorder="1" applyAlignment="1">
      <alignment horizontal="right" wrapText="1"/>
    </xf>
    <xf numFmtId="0" fontId="16" fillId="0" borderId="2" xfId="0" applyFont="1" applyBorder="1" applyAlignment="1">
      <alignment vertical="center"/>
    </xf>
    <xf numFmtId="3" fontId="17" fillId="0" borderId="6" xfId="0" applyNumberFormat="1" applyFont="1" applyBorder="1" applyAlignment="1">
      <alignment wrapText="1"/>
    </xf>
    <xf numFmtId="3" fontId="17" fillId="0" borderId="6" xfId="0" applyNumberFormat="1" applyFont="1" applyBorder="1" applyAlignment="1">
      <alignment horizontal="center" wrapText="1"/>
    </xf>
    <xf numFmtId="3" fontId="17" fillId="0" borderId="13" xfId="0" applyNumberFormat="1" applyFont="1" applyBorder="1" applyAlignment="1">
      <alignment wrapText="1"/>
    </xf>
    <xf numFmtId="3" fontId="17" fillId="0" borderId="14" xfId="0" applyNumberFormat="1" applyFont="1" applyBorder="1" applyAlignment="1">
      <alignment wrapText="1"/>
    </xf>
    <xf numFmtId="167" fontId="17" fillId="0" borderId="6" xfId="0" applyNumberFormat="1" applyFont="1" applyBorder="1" applyAlignment="1">
      <alignment horizontal="right" wrapText="1"/>
    </xf>
    <xf numFmtId="0" fontId="4" fillId="0" borderId="7" xfId="0" applyFont="1" applyBorder="1" applyAlignment="1">
      <alignment horizontal="center"/>
    </xf>
    <xf numFmtId="9" fontId="17" fillId="0" borderId="13" xfId="2" applyFont="1" applyBorder="1" applyAlignment="1">
      <alignment wrapText="1"/>
    </xf>
    <xf numFmtId="9" fontId="17" fillId="0" borderId="6" xfId="2" applyFont="1" applyBorder="1" applyAlignment="1">
      <alignment wrapText="1"/>
    </xf>
    <xf numFmtId="9" fontId="17" fillId="0" borderId="6" xfId="2" quotePrefix="1" applyFont="1" applyBorder="1" applyAlignment="1">
      <alignment horizontal="right" wrapText="1"/>
    </xf>
    <xf numFmtId="9" fontId="17" fillId="0" borderId="6" xfId="2" applyFont="1" applyBorder="1" applyAlignment="1">
      <alignment horizontal="center" wrapText="1"/>
    </xf>
    <xf numFmtId="9" fontId="17" fillId="0" borderId="6" xfId="2" quotePrefix="1" applyFont="1" applyBorder="1" applyAlignment="1">
      <alignment horizontal="center" wrapText="1"/>
    </xf>
    <xf numFmtId="9" fontId="17" fillId="0" borderId="6" xfId="2" applyFont="1" applyBorder="1" applyAlignment="1">
      <alignment horizontal="right" wrapText="1"/>
    </xf>
    <xf numFmtId="0" fontId="16" fillId="0" borderId="2" xfId="0" applyFont="1" applyBorder="1" applyAlignment="1">
      <alignment horizontal="center"/>
    </xf>
    <xf numFmtId="0" fontId="16" fillId="0" borderId="2" xfId="0" applyFont="1" applyBorder="1" applyAlignment="1">
      <alignment horizontal="center" vertical="center"/>
    </xf>
    <xf numFmtId="166" fontId="6" fillId="0" borderId="2" xfId="1" applyNumberFormat="1" applyFont="1" applyFill="1" applyBorder="1"/>
    <xf numFmtId="3" fontId="2" fillId="0" borderId="0" xfId="0" applyNumberFormat="1" applyFont="1"/>
    <xf numFmtId="165" fontId="16" fillId="0" borderId="2" xfId="1" applyFont="1" applyFill="1" applyBorder="1" applyAlignment="1">
      <alignment horizontal="center" vertical="center"/>
    </xf>
    <xf numFmtId="0" fontId="6" fillId="0" borderId="0" xfId="0" applyFont="1"/>
    <xf numFmtId="0" fontId="4" fillId="0" borderId="0" xfId="0" applyFont="1"/>
    <xf numFmtId="166" fontId="4" fillId="0" borderId="0" xfId="1" applyNumberFormat="1" applyFont="1" applyFill="1"/>
    <xf numFmtId="0" fontId="4" fillId="0" borderId="2" xfId="0" applyFont="1" applyBorder="1" applyAlignment="1">
      <alignment horizontal="center"/>
    </xf>
    <xf numFmtId="0" fontId="4" fillId="0" borderId="2" xfId="0" applyFont="1" applyBorder="1" applyAlignment="1">
      <alignment horizontal="center" vertical="center"/>
    </xf>
    <xf numFmtId="0" fontId="18" fillId="0" borderId="0" xfId="0" applyFont="1"/>
    <xf numFmtId="9" fontId="18" fillId="0" borderId="0" xfId="2" applyFont="1" applyFill="1" applyAlignment="1">
      <alignment horizontal="center"/>
    </xf>
    <xf numFmtId="0" fontId="16" fillId="0" borderId="0" xfId="0" applyFont="1"/>
    <xf numFmtId="9" fontId="16" fillId="0" borderId="0" xfId="2" applyFont="1" applyFill="1" applyAlignment="1">
      <alignment horizontal="center"/>
    </xf>
    <xf numFmtId="3" fontId="16" fillId="0" borderId="0" xfId="0" applyNumberFormat="1" applyFont="1" applyAlignment="1">
      <alignment vertical="top"/>
    </xf>
    <xf numFmtId="9" fontId="16" fillId="0" borderId="0" xfId="2" applyFont="1" applyFill="1" applyAlignment="1">
      <alignment horizontal="center" vertical="top"/>
    </xf>
    <xf numFmtId="166" fontId="16" fillId="0" borderId="0" xfId="1" applyNumberFormat="1" applyFont="1" applyFill="1"/>
    <xf numFmtId="0" fontId="16" fillId="0" borderId="0" xfId="0" applyFont="1" applyAlignment="1">
      <alignment horizontal="center" vertical="center"/>
    </xf>
    <xf numFmtId="0" fontId="18" fillId="0" borderId="2" xfId="0" quotePrefix="1" applyFont="1" applyBorder="1" applyAlignment="1">
      <alignment horizontal="left" wrapText="1"/>
    </xf>
    <xf numFmtId="166" fontId="18" fillId="0" borderId="2" xfId="1" applyNumberFormat="1" applyFont="1" applyFill="1" applyBorder="1"/>
    <xf numFmtId="9" fontId="18" fillId="0" borderId="2" xfId="2" applyFont="1" applyFill="1" applyBorder="1" applyAlignment="1">
      <alignment horizontal="center" wrapText="1"/>
    </xf>
    <xf numFmtId="3" fontId="18" fillId="0" borderId="2" xfId="0" applyNumberFormat="1" applyFont="1" applyBorder="1" applyAlignment="1">
      <alignment wrapText="1"/>
    </xf>
    <xf numFmtId="0" fontId="18" fillId="0" borderId="2" xfId="0" quotePrefix="1" applyFont="1" applyBorder="1"/>
    <xf numFmtId="0" fontId="18" fillId="0" borderId="17" xfId="0" quotePrefix="1" applyFont="1" applyBorder="1" applyAlignment="1">
      <alignment horizontal="left" wrapText="1"/>
    </xf>
    <xf numFmtId="166" fontId="18" fillId="0" borderId="17" xfId="1" applyNumberFormat="1" applyFont="1" applyFill="1" applyBorder="1"/>
    <xf numFmtId="3" fontId="18" fillId="0" borderId="17" xfId="0" applyNumberFormat="1" applyFont="1" applyBorder="1" applyAlignment="1">
      <alignment wrapText="1"/>
    </xf>
    <xf numFmtId="3" fontId="18" fillId="0" borderId="17" xfId="0" applyNumberFormat="1" applyFont="1" applyBorder="1" applyAlignment="1">
      <alignment horizontal="right" wrapText="1"/>
    </xf>
    <xf numFmtId="9" fontId="19" fillId="0" borderId="17" xfId="2" applyFont="1" applyFill="1" applyBorder="1" applyAlignment="1">
      <alignment horizontal="right" wrapText="1"/>
    </xf>
    <xf numFmtId="9" fontId="18" fillId="0" borderId="17" xfId="2" applyFont="1" applyFill="1" applyBorder="1" applyAlignment="1">
      <alignment horizontal="center" wrapText="1"/>
    </xf>
    <xf numFmtId="0" fontId="18" fillId="0" borderId="6" xfId="0" quotePrefix="1" applyFont="1" applyBorder="1" applyAlignment="1">
      <alignment horizontal="left" wrapText="1"/>
    </xf>
    <xf numFmtId="166" fontId="18" fillId="0" borderId="6" xfId="1" applyNumberFormat="1" applyFont="1" applyFill="1" applyBorder="1"/>
    <xf numFmtId="3" fontId="18" fillId="0" borderId="6" xfId="0" applyNumberFormat="1" applyFont="1" applyBorder="1" applyAlignment="1">
      <alignment wrapText="1"/>
    </xf>
    <xf numFmtId="3" fontId="18" fillId="0" borderId="6" xfId="0" applyNumberFormat="1" applyFont="1" applyBorder="1" applyAlignment="1">
      <alignment horizontal="right" wrapText="1"/>
    </xf>
    <xf numFmtId="9" fontId="19" fillId="0" borderId="6" xfId="2" applyFont="1" applyFill="1" applyBorder="1" applyAlignment="1">
      <alignment horizontal="right" wrapText="1"/>
    </xf>
    <xf numFmtId="9" fontId="18" fillId="0" borderId="6" xfId="2" applyFont="1" applyFill="1" applyBorder="1" applyAlignment="1">
      <alignment horizontal="center" wrapText="1"/>
    </xf>
    <xf numFmtId="3" fontId="18" fillId="0" borderId="6" xfId="0" applyNumberFormat="1" applyFont="1" applyBorder="1" applyAlignment="1">
      <alignment horizontal="center" wrapText="1"/>
    </xf>
    <xf numFmtId="3" fontId="19" fillId="0" borderId="6" xfId="0" applyNumberFormat="1" applyFont="1" applyBorder="1" applyAlignment="1">
      <alignment horizontal="center" wrapText="1"/>
    </xf>
    <xf numFmtId="0" fontId="20" fillId="0" borderId="6" xfId="0" applyFont="1" applyBorder="1" applyAlignment="1">
      <alignment wrapText="1"/>
    </xf>
    <xf numFmtId="3" fontId="19" fillId="0" borderId="6" xfId="0" applyNumberFormat="1" applyFont="1" applyBorder="1" applyAlignment="1">
      <alignment wrapText="1"/>
    </xf>
    <xf numFmtId="0" fontId="20" fillId="0" borderId="14" xfId="0" applyFont="1" applyBorder="1" applyAlignment="1">
      <alignment wrapText="1"/>
    </xf>
    <xf numFmtId="3" fontId="18" fillId="0" borderId="14" xfId="0" applyNumberFormat="1" applyFont="1" applyBorder="1" applyAlignment="1">
      <alignment wrapText="1"/>
    </xf>
    <xf numFmtId="9" fontId="18" fillId="0" borderId="14" xfId="2" applyFont="1" applyFill="1" applyBorder="1" applyAlignment="1">
      <alignment horizontal="center" wrapText="1"/>
    </xf>
    <xf numFmtId="0" fontId="16" fillId="0" borderId="7" xfId="0" applyFont="1" applyBorder="1" applyAlignment="1">
      <alignment horizontal="center"/>
    </xf>
    <xf numFmtId="3" fontId="16" fillId="0" borderId="2" xfId="0" applyNumberFormat="1" applyFont="1" applyBorder="1"/>
    <xf numFmtId="9" fontId="16" fillId="0" borderId="2" xfId="2" applyFont="1" applyFill="1" applyBorder="1" applyAlignment="1">
      <alignment horizontal="center"/>
    </xf>
    <xf numFmtId="0" fontId="18" fillId="2" borderId="2" xfId="0" quotePrefix="1" applyFont="1" applyFill="1" applyBorder="1" applyAlignment="1">
      <alignment horizontal="left" wrapText="1"/>
    </xf>
    <xf numFmtId="9" fontId="18" fillId="2" borderId="2" xfId="2" applyFont="1" applyFill="1" applyBorder="1" applyAlignment="1">
      <alignment horizontal="center" wrapText="1"/>
    </xf>
    <xf numFmtId="0" fontId="18" fillId="2" borderId="0" xfId="0" applyFont="1" applyFill="1"/>
    <xf numFmtId="0" fontId="4" fillId="0" borderId="0" xfId="0" applyFont="1" applyAlignment="1">
      <alignment horizontal="center"/>
    </xf>
    <xf numFmtId="166" fontId="21" fillId="0" borderId="0" xfId="1" applyNumberFormat="1" applyFont="1" applyBorder="1"/>
    <xf numFmtId="0" fontId="4" fillId="0" borderId="0" xfId="0" applyFont="1" applyAlignment="1">
      <alignment vertical="center"/>
    </xf>
    <xf numFmtId="0" fontId="4" fillId="0" borderId="2" xfId="0" applyFont="1" applyBorder="1" applyAlignment="1">
      <alignment horizontal="center" vertical="top" wrapText="1"/>
    </xf>
    <xf numFmtId="0" fontId="4" fillId="0" borderId="15" xfId="0" applyFont="1" applyBorder="1" applyAlignment="1">
      <alignment horizontal="center" vertical="top" wrapText="1"/>
    </xf>
    <xf numFmtId="0" fontId="4" fillId="0" borderId="4" xfId="0" applyFont="1" applyBorder="1" applyAlignment="1">
      <alignment horizontal="center" vertical="top" wrapText="1"/>
    </xf>
    <xf numFmtId="0" fontId="22" fillId="0" borderId="18" xfId="0" applyFont="1" applyBorder="1" applyAlignment="1">
      <alignment vertical="top" wrapText="1"/>
    </xf>
    <xf numFmtId="3" fontId="4" fillId="0" borderId="16" xfId="0" applyNumberFormat="1" applyFont="1" applyBorder="1" applyAlignment="1">
      <alignment vertical="top" wrapText="1"/>
    </xf>
    <xf numFmtId="0" fontId="6" fillId="0" borderId="6" xfId="0" quotePrefix="1" applyFont="1" applyBorder="1" applyAlignment="1">
      <alignment vertical="top" wrapText="1"/>
    </xf>
    <xf numFmtId="3" fontId="6" fillId="0" borderId="6" xfId="0" applyNumberFormat="1" applyFont="1" applyBorder="1" applyAlignment="1">
      <alignment vertical="center" wrapText="1"/>
    </xf>
    <xf numFmtId="166" fontId="23" fillId="0" borderId="0" xfId="1" applyNumberFormat="1" applyFont="1" applyBorder="1"/>
    <xf numFmtId="0" fontId="6" fillId="0" borderId="5" xfId="0" quotePrefix="1" applyFont="1" applyBorder="1" applyAlignment="1">
      <alignment vertical="top" wrapText="1"/>
    </xf>
    <xf numFmtId="166" fontId="23" fillId="0" borderId="0" xfId="1" applyNumberFormat="1" applyFont="1" applyFill="1" applyBorder="1"/>
    <xf numFmtId="0" fontId="4" fillId="0" borderId="2" xfId="0" quotePrefix="1" applyFont="1" applyBorder="1" applyAlignment="1">
      <alignment horizontal="left" vertical="center" wrapText="1"/>
    </xf>
    <xf numFmtId="3" fontId="4" fillId="0" borderId="2" xfId="0" applyNumberFormat="1" applyFont="1" applyBorder="1" applyAlignment="1">
      <alignment vertical="center" wrapText="1"/>
    </xf>
    <xf numFmtId="166" fontId="21" fillId="0" borderId="2" xfId="1" applyNumberFormat="1" applyFont="1" applyBorder="1" applyAlignment="1">
      <alignment vertical="center"/>
    </xf>
    <xf numFmtId="166" fontId="21" fillId="0" borderId="0" xfId="1" applyNumberFormat="1" applyFont="1" applyBorder="1" applyAlignment="1">
      <alignment vertical="center"/>
    </xf>
    <xf numFmtId="0" fontId="4" fillId="0" borderId="0" xfId="0" quotePrefix="1" applyFont="1" applyAlignment="1">
      <alignment horizontal="left" vertical="top" wrapText="1" indent="2"/>
    </xf>
    <xf numFmtId="3" fontId="4" fillId="0" borderId="0" xfId="0" applyNumberFormat="1" applyFont="1" applyAlignment="1">
      <alignment vertical="top" wrapText="1"/>
    </xf>
    <xf numFmtId="0" fontId="21" fillId="0" borderId="0" xfId="0" applyFont="1"/>
    <xf numFmtId="166" fontId="21" fillId="0" borderId="0" xfId="1" applyNumberFormat="1" applyFont="1" applyBorder="1" applyAlignment="1">
      <alignment horizontal="right"/>
    </xf>
    <xf numFmtId="0" fontId="22" fillId="0" borderId="0" xfId="0" applyFont="1"/>
    <xf numFmtId="0" fontId="4" fillId="0" borderId="0" xfId="0" applyFont="1" applyAlignment="1">
      <alignment horizontal="left"/>
    </xf>
    <xf numFmtId="166" fontId="21" fillId="0" borderId="0" xfId="1" applyNumberFormat="1" applyFont="1" applyFill="1" applyBorder="1"/>
    <xf numFmtId="0" fontId="6" fillId="0" borderId="6" xfId="0" quotePrefix="1" applyFont="1" applyBorder="1" applyAlignment="1">
      <alignment horizontal="left" vertical="center" wrapText="1"/>
    </xf>
    <xf numFmtId="166" fontId="23" fillId="0" borderId="0" xfId="1" applyNumberFormat="1" applyFont="1" applyBorder="1" applyAlignment="1">
      <alignment vertical="center"/>
    </xf>
    <xf numFmtId="0" fontId="6" fillId="0" borderId="0" xfId="0" applyFont="1" applyAlignment="1">
      <alignment vertical="center"/>
    </xf>
    <xf numFmtId="0" fontId="6" fillId="0" borderId="5" xfId="0" quotePrefix="1" applyFont="1" applyBorder="1" applyAlignment="1">
      <alignment horizontal="left" vertical="center" wrapText="1"/>
    </xf>
    <xf numFmtId="166" fontId="23" fillId="0" borderId="0" xfId="1" applyNumberFormat="1" applyFont="1" applyFill="1" applyBorder="1" applyAlignment="1">
      <alignment vertical="center"/>
    </xf>
    <xf numFmtId="0" fontId="4" fillId="0" borderId="2" xfId="0" applyFont="1" applyBorder="1" applyAlignment="1">
      <alignment horizontal="center" vertical="center" wrapText="1"/>
    </xf>
    <xf numFmtId="3" fontId="4" fillId="0" borderId="0" xfId="0" applyNumberFormat="1" applyFont="1" applyAlignment="1">
      <alignment vertical="top"/>
    </xf>
    <xf numFmtId="3" fontId="6" fillId="0" borderId="6" xfId="0" applyNumberFormat="1" applyFont="1" applyBorder="1" applyAlignment="1">
      <alignment vertical="top" wrapText="1"/>
    </xf>
    <xf numFmtId="0" fontId="4" fillId="0" borderId="0" xfId="0" applyFont="1" applyAlignment="1">
      <alignment horizontal="right"/>
    </xf>
    <xf numFmtId="3" fontId="4" fillId="0" borderId="0" xfId="0" applyNumberFormat="1" applyFont="1"/>
    <xf numFmtId="3" fontId="4" fillId="0" borderId="22" xfId="0" applyNumberFormat="1" applyFont="1" applyBorder="1"/>
    <xf numFmtId="0" fontId="4" fillId="0" borderId="0" xfId="0" applyFont="1" applyAlignment="1">
      <alignment horizontal="center" vertical="top" wrapText="1"/>
    </xf>
    <xf numFmtId="0" fontId="6" fillId="0" borderId="0" xfId="0" quotePrefix="1" applyFont="1" applyAlignment="1">
      <alignment horizontal="left" vertical="top" indent="2"/>
    </xf>
    <xf numFmtId="0" fontId="6" fillId="0" borderId="0" xfId="0" applyFont="1" applyAlignment="1">
      <alignment horizontal="left"/>
    </xf>
    <xf numFmtId="165" fontId="4" fillId="0" borderId="4" xfId="1" applyFont="1" applyBorder="1" applyAlignment="1">
      <alignment horizontal="center" vertical="top" wrapText="1"/>
    </xf>
    <xf numFmtId="0" fontId="6" fillId="2" borderId="5" xfId="0" quotePrefix="1" applyFont="1" applyFill="1" applyBorder="1" applyAlignment="1">
      <alignment horizontal="left" vertical="center" wrapText="1"/>
    </xf>
    <xf numFmtId="3" fontId="6" fillId="2" borderId="6" xfId="0" applyNumberFormat="1" applyFont="1" applyFill="1" applyBorder="1" applyAlignment="1">
      <alignment vertical="center" wrapText="1"/>
    </xf>
    <xf numFmtId="3" fontId="6" fillId="0" borderId="0" xfId="0" applyNumberFormat="1" applyFont="1" applyAlignment="1">
      <alignment vertical="center" wrapText="1"/>
    </xf>
    <xf numFmtId="3" fontId="4" fillId="0" borderId="0" xfId="0" applyNumberFormat="1" applyFont="1" applyAlignment="1">
      <alignment vertical="center" wrapText="1"/>
    </xf>
    <xf numFmtId="168" fontId="4" fillId="0" borderId="0" xfId="1" applyNumberFormat="1" applyFont="1" applyFill="1" applyBorder="1" applyAlignment="1">
      <alignment horizontal="center" vertical="top" wrapText="1"/>
    </xf>
    <xf numFmtId="0" fontId="6" fillId="2" borderId="6" xfId="0" applyFont="1" applyFill="1" applyBorder="1" applyAlignment="1">
      <alignment horizontal="center" vertical="center" wrapText="1"/>
    </xf>
    <xf numFmtId="0" fontId="4" fillId="0" borderId="13" xfId="0" applyFont="1" applyBorder="1" applyAlignment="1">
      <alignment horizontal="center" vertical="top" wrapText="1"/>
    </xf>
    <xf numFmtId="168" fontId="4" fillId="0" borderId="4" xfId="1" applyNumberFormat="1" applyFont="1" applyFill="1" applyBorder="1" applyAlignment="1">
      <alignment horizontal="center" vertical="center" wrapText="1"/>
    </xf>
    <xf numFmtId="166" fontId="4" fillId="0" borderId="0" xfId="1" applyNumberFormat="1" applyFont="1"/>
    <xf numFmtId="3" fontId="6" fillId="2" borderId="6" xfId="0" applyNumberFormat="1" applyFont="1" applyFill="1" applyBorder="1" applyAlignment="1">
      <alignment vertical="top" wrapText="1"/>
    </xf>
    <xf numFmtId="168" fontId="4" fillId="0" borderId="4" xfId="1" applyNumberFormat="1" applyFont="1" applyBorder="1" applyAlignment="1">
      <alignment horizontal="center" vertical="top" wrapText="1"/>
    </xf>
    <xf numFmtId="9" fontId="6" fillId="0" borderId="6" xfId="0" applyNumberFormat="1" applyFont="1" applyBorder="1" applyAlignment="1">
      <alignment horizontal="center" vertical="center" wrapText="1"/>
    </xf>
    <xf numFmtId="0" fontId="26" fillId="0" borderId="0" xfId="0" applyFont="1"/>
    <xf numFmtId="0" fontId="4" fillId="0" borderId="2" xfId="0" applyFont="1" applyBorder="1"/>
    <xf numFmtId="166" fontId="27" fillId="0" borderId="0" xfId="1" applyNumberFormat="1" applyFont="1" applyFill="1"/>
    <xf numFmtId="0" fontId="4" fillId="0" borderId="2" xfId="0" applyFont="1" applyBorder="1" applyAlignment="1">
      <alignment horizontal="left" vertical="center"/>
    </xf>
    <xf numFmtId="0" fontId="4" fillId="0" borderId="2" xfId="0" applyFont="1" applyBorder="1" applyAlignment="1">
      <alignment wrapText="1"/>
    </xf>
    <xf numFmtId="0" fontId="6" fillId="0" borderId="2" xfId="0" applyFont="1" applyBorder="1" applyAlignment="1">
      <alignment horizontal="center"/>
    </xf>
    <xf numFmtId="0" fontId="6" fillId="0" borderId="7" xfId="0" applyFont="1" applyBorder="1" applyAlignment="1">
      <alignment horizontal="left"/>
    </xf>
    <xf numFmtId="0" fontId="6" fillId="0" borderId="9" xfId="0" applyFont="1" applyBorder="1" applyAlignment="1">
      <alignment horizontal="left"/>
    </xf>
    <xf numFmtId="0" fontId="6" fillId="0" borderId="10" xfId="0" applyFont="1" applyBorder="1" applyAlignment="1">
      <alignment horizontal="left"/>
    </xf>
    <xf numFmtId="0" fontId="6" fillId="0" borderId="2" xfId="0" quotePrefix="1" applyFont="1" applyBorder="1" applyAlignment="1">
      <alignment wrapText="1"/>
    </xf>
    <xf numFmtId="0" fontId="6" fillId="0" borderId="2" xfId="0" applyFont="1" applyBorder="1" applyAlignment="1">
      <alignment horizontal="center" vertical="center"/>
    </xf>
    <xf numFmtId="0" fontId="6" fillId="0" borderId="7" xfId="0" applyFont="1" applyBorder="1" applyAlignment="1">
      <alignment horizontal="lef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3" fontId="6" fillId="0" borderId="2" xfId="0" applyNumberFormat="1" applyFont="1" applyBorder="1" applyAlignment="1">
      <alignment vertical="center"/>
    </xf>
    <xf numFmtId="0" fontId="6" fillId="0" borderId="2" xfId="0" quotePrefix="1" applyFont="1" applyBorder="1" applyAlignment="1">
      <alignment vertical="center" wrapText="1"/>
    </xf>
    <xf numFmtId="0" fontId="6" fillId="0" borderId="2" xfId="0" applyFont="1" applyBorder="1" applyAlignment="1">
      <alignment wrapText="1"/>
    </xf>
    <xf numFmtId="0" fontId="22" fillId="0" borderId="2" xfId="0" applyFont="1" applyBorder="1"/>
    <xf numFmtId="0" fontId="22" fillId="0" borderId="7" xfId="0" applyFont="1" applyBorder="1" applyAlignment="1">
      <alignment horizontal="left"/>
    </xf>
    <xf numFmtId="0" fontId="22" fillId="0" borderId="9" xfId="0" applyFont="1" applyBorder="1" applyAlignment="1">
      <alignment horizontal="left"/>
    </xf>
    <xf numFmtId="0" fontId="22" fillId="0" borderId="10" xfId="0" applyFont="1" applyBorder="1" applyAlignment="1">
      <alignment horizontal="left"/>
    </xf>
    <xf numFmtId="0" fontId="22" fillId="0" borderId="2" xfId="0" applyFont="1" applyBorder="1" applyAlignment="1">
      <alignment horizontal="center"/>
    </xf>
    <xf numFmtId="3" fontId="22" fillId="0" borderId="2" xfId="0" applyNumberFormat="1" applyFont="1" applyBorder="1"/>
    <xf numFmtId="0" fontId="22" fillId="0" borderId="23" xfId="0" applyFont="1" applyBorder="1"/>
    <xf numFmtId="0" fontId="22" fillId="0" borderId="8" xfId="0" applyFont="1" applyBorder="1" applyAlignment="1">
      <alignment horizontal="center"/>
    </xf>
    <xf numFmtId="0" fontId="22" fillId="0" borderId="2" xfId="0" applyFont="1" applyBorder="1" applyAlignment="1">
      <alignment horizontal="center" vertical="center"/>
    </xf>
    <xf numFmtId="3" fontId="28" fillId="0" borderId="2" xfId="0" applyNumberFormat="1" applyFont="1" applyBorder="1"/>
    <xf numFmtId="0" fontId="6" fillId="0" borderId="15" xfId="0" applyFont="1" applyBorder="1" applyAlignment="1">
      <alignment horizontal="center"/>
    </xf>
    <xf numFmtId="0" fontId="6" fillId="0" borderId="7" xfId="0" applyFont="1" applyBorder="1"/>
    <xf numFmtId="0" fontId="6" fillId="0" borderId="9" xfId="0" applyFont="1" applyBorder="1"/>
    <xf numFmtId="0" fontId="6" fillId="0" borderId="10" xfId="0" applyFont="1" applyBorder="1"/>
    <xf numFmtId="0" fontId="6" fillId="0" borderId="7" xfId="0" quotePrefix="1" applyFont="1" applyBorder="1" applyAlignment="1">
      <alignment horizontal="left"/>
    </xf>
    <xf numFmtId="166" fontId="6" fillId="0" borderId="2" xfId="1" applyNumberFormat="1" applyFont="1" applyFill="1" applyBorder="1" applyAlignment="1">
      <alignment vertical="center"/>
    </xf>
    <xf numFmtId="0" fontId="6" fillId="0" borderId="7"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22" fillId="0" borderId="7" xfId="0" applyFont="1" applyBorder="1"/>
    <xf numFmtId="0" fontId="22" fillId="0" borderId="9" xfId="0" applyFont="1" applyBorder="1"/>
    <xf numFmtId="0" fontId="22" fillId="0" borderId="10" xfId="0" applyFont="1" applyBorder="1"/>
    <xf numFmtId="0" fontId="25" fillId="0" borderId="0" xfId="0" applyFont="1"/>
    <xf numFmtId="0" fontId="6" fillId="0" borderId="0" xfId="0" applyFont="1" applyAlignment="1">
      <alignment horizontal="center"/>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6" fillId="3" borderId="2" xfId="0" applyFont="1" applyFill="1" applyBorder="1" applyAlignment="1">
      <alignment horizontal="center"/>
    </xf>
    <xf numFmtId="0" fontId="6" fillId="3" borderId="7" xfId="0" applyFont="1" applyFill="1" applyBorder="1" applyAlignment="1">
      <alignment horizontal="left"/>
    </xf>
    <xf numFmtId="0" fontId="6" fillId="3" borderId="9" xfId="0" applyFont="1" applyFill="1" applyBorder="1" applyAlignment="1">
      <alignment horizontal="left"/>
    </xf>
    <xf numFmtId="0" fontId="6" fillId="3" borderId="10" xfId="0" applyFont="1" applyFill="1" applyBorder="1" applyAlignment="1">
      <alignment horizontal="left"/>
    </xf>
    <xf numFmtId="0" fontId="6" fillId="3" borderId="2" xfId="0" applyFont="1" applyFill="1" applyBorder="1" applyAlignment="1">
      <alignment horizontal="center" vertical="center"/>
    </xf>
    <xf numFmtId="0" fontId="6" fillId="3" borderId="7" xfId="0" applyFont="1" applyFill="1" applyBorder="1" applyAlignment="1">
      <alignment horizontal="left" vertical="center"/>
    </xf>
    <xf numFmtId="0" fontId="6" fillId="3" borderId="9" xfId="0" applyFont="1" applyFill="1" applyBorder="1" applyAlignment="1">
      <alignment horizontal="left" vertical="center"/>
    </xf>
    <xf numFmtId="0" fontId="6" fillId="3" borderId="10" xfId="0" applyFont="1" applyFill="1" applyBorder="1" applyAlignment="1">
      <alignment horizontal="left" vertical="center"/>
    </xf>
    <xf numFmtId="9" fontId="6" fillId="0" borderId="2" xfId="0" quotePrefix="1" applyNumberFormat="1" applyFont="1" applyBorder="1" applyAlignment="1">
      <alignment wrapText="1"/>
    </xf>
    <xf numFmtId="0" fontId="22" fillId="3" borderId="7" xfId="0" applyFont="1" applyFill="1" applyBorder="1" applyAlignment="1">
      <alignment horizontal="left"/>
    </xf>
    <xf numFmtId="0" fontId="22" fillId="3" borderId="9" xfId="0" applyFont="1" applyFill="1" applyBorder="1" applyAlignment="1">
      <alignment horizontal="left"/>
    </xf>
    <xf numFmtId="0" fontId="22" fillId="3" borderId="10" xfId="0" applyFont="1" applyFill="1" applyBorder="1" applyAlignment="1">
      <alignment horizontal="left"/>
    </xf>
    <xf numFmtId="0" fontId="4" fillId="3" borderId="0" xfId="0" applyFont="1" applyFill="1"/>
    <xf numFmtId="0" fontId="4" fillId="3" borderId="23" xfId="0" applyFont="1" applyFill="1" applyBorder="1"/>
    <xf numFmtId="0" fontId="4" fillId="0" borderId="8" xfId="0" applyFont="1" applyBorder="1" applyAlignment="1">
      <alignment horizont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6" fillId="3" borderId="15" xfId="0" applyFont="1" applyFill="1" applyBorder="1" applyAlignment="1">
      <alignment horizontal="center"/>
    </xf>
    <xf numFmtId="0" fontId="6" fillId="3" borderId="7" xfId="0" quotePrefix="1" applyFont="1" applyFill="1" applyBorder="1" applyAlignment="1">
      <alignment horizontal="left"/>
    </xf>
    <xf numFmtId="0" fontId="22" fillId="3" borderId="2" xfId="0" applyFont="1" applyFill="1" applyBorder="1" applyAlignment="1">
      <alignment horizontal="center"/>
    </xf>
    <xf numFmtId="0" fontId="4" fillId="3" borderId="7" xfId="0" applyFont="1" applyFill="1" applyBorder="1" applyAlignment="1">
      <alignment horizontal="left" vertical="center"/>
    </xf>
    <xf numFmtId="0" fontId="4" fillId="3" borderId="9" xfId="0" applyFont="1" applyFill="1" applyBorder="1" applyAlignment="1">
      <alignment horizontal="left" vertical="center"/>
    </xf>
    <xf numFmtId="0" fontId="5" fillId="0" borderId="0" xfId="0" applyFont="1"/>
    <xf numFmtId="0" fontId="9" fillId="0" borderId="0" xfId="0" applyFont="1"/>
    <xf numFmtId="9" fontId="6" fillId="0" borderId="2" xfId="0" applyNumberFormat="1" applyFont="1" applyBorder="1" applyAlignment="1">
      <alignment wrapText="1"/>
    </xf>
    <xf numFmtId="9" fontId="6" fillId="0" borderId="2" xfId="0" quotePrefix="1" applyNumberFormat="1" applyFont="1" applyBorder="1"/>
    <xf numFmtId="9" fontId="6" fillId="0" borderId="2" xfId="0" quotePrefix="1" applyNumberFormat="1" applyFont="1" applyBorder="1" applyAlignment="1">
      <alignment horizontal="right" wrapText="1"/>
    </xf>
    <xf numFmtId="9" fontId="6" fillId="0" borderId="2" xfId="0" applyNumberFormat="1" applyFont="1" applyBorder="1" applyAlignment="1">
      <alignment horizontal="right" wrapText="1"/>
    </xf>
    <xf numFmtId="166" fontId="26" fillId="0" borderId="0" xfId="1" applyNumberFormat="1" applyFont="1" applyFill="1"/>
    <xf numFmtId="9" fontId="6" fillId="0" borderId="2" xfId="0" applyNumberFormat="1" applyFont="1" applyBorder="1" applyAlignment="1">
      <alignment vertical="center" wrapText="1"/>
    </xf>
    <xf numFmtId="0" fontId="4" fillId="0" borderId="7" xfId="0" applyFont="1" applyBorder="1"/>
    <xf numFmtId="3" fontId="6" fillId="0" borderId="7" xfId="0" applyNumberFormat="1" applyFont="1" applyBorder="1" applyAlignment="1">
      <alignment vertical="center"/>
    </xf>
    <xf numFmtId="0" fontId="31" fillId="0" borderId="0" xfId="0" applyFont="1"/>
    <xf numFmtId="0" fontId="31" fillId="0" borderId="0" xfId="0" applyFont="1" applyAlignment="1">
      <alignment horizontal="center"/>
    </xf>
    <xf numFmtId="0" fontId="33" fillId="0" borderId="0" xfId="0" applyFont="1"/>
    <xf numFmtId="0" fontId="31" fillId="0" borderId="0" xfId="0" applyFont="1" applyAlignment="1">
      <alignment vertical="center"/>
    </xf>
    <xf numFmtId="0" fontId="31" fillId="0" borderId="2" xfId="0" applyFont="1" applyBorder="1" applyAlignment="1">
      <alignment horizontal="center"/>
    </xf>
    <xf numFmtId="0" fontId="31" fillId="0" borderId="2" xfId="0" applyFont="1" applyBorder="1" applyAlignment="1">
      <alignment horizontal="center" vertical="center"/>
    </xf>
    <xf numFmtId="0" fontId="33" fillId="0" borderId="0" xfId="0" applyFont="1" applyAlignment="1">
      <alignment vertical="center"/>
    </xf>
    <xf numFmtId="0" fontId="31" fillId="0" borderId="2" xfId="0" applyFont="1" applyBorder="1" applyAlignment="1">
      <alignment horizontal="center" vertical="top" wrapText="1"/>
    </xf>
    <xf numFmtId="0" fontId="31" fillId="0" borderId="15" xfId="0" applyFont="1" applyBorder="1" applyAlignment="1">
      <alignment horizontal="center" vertical="top" wrapText="1"/>
    </xf>
    <xf numFmtId="0" fontId="31" fillId="0" borderId="4" xfId="0" applyFont="1" applyBorder="1" applyAlignment="1">
      <alignment horizontal="center" vertical="top" wrapText="1"/>
    </xf>
    <xf numFmtId="0" fontId="31" fillId="0" borderId="8" xfId="0" applyFont="1" applyBorder="1" applyAlignment="1">
      <alignment vertical="center"/>
    </xf>
    <xf numFmtId="166" fontId="31" fillId="0" borderId="4" xfId="1" applyNumberFormat="1" applyFont="1" applyFill="1" applyBorder="1" applyAlignment="1">
      <alignment horizontal="center" vertical="top" wrapText="1"/>
    </xf>
    <xf numFmtId="0" fontId="31" fillId="0" borderId="4" xfId="0" applyFont="1" applyBorder="1" applyAlignment="1">
      <alignment horizontal="center" vertical="center"/>
    </xf>
    <xf numFmtId="0" fontId="34" fillId="0" borderId="15" xfId="0" applyFont="1" applyBorder="1" applyAlignment="1">
      <alignment horizontal="center" vertical="top" wrapText="1"/>
    </xf>
    <xf numFmtId="0" fontId="33" fillId="0" borderId="5" xfId="0" quotePrefix="1" applyFont="1" applyBorder="1" applyAlignment="1">
      <alignment horizontal="left" vertical="top" wrapText="1" indent="2"/>
    </xf>
    <xf numFmtId="3" fontId="33" fillId="0" borderId="13" xfId="0" applyNumberFormat="1" applyFont="1" applyBorder="1" applyAlignment="1">
      <alignment vertical="top" wrapText="1"/>
    </xf>
    <xf numFmtId="9" fontId="33" fillId="0" borderId="6" xfId="2" applyFont="1" applyFill="1" applyBorder="1" applyAlignment="1">
      <alignment horizontal="center" vertical="top" wrapText="1"/>
    </xf>
    <xf numFmtId="0" fontId="31" fillId="0" borderId="7" xfId="0" applyFont="1" applyBorder="1" applyAlignment="1">
      <alignment horizontal="right"/>
    </xf>
    <xf numFmtId="3" fontId="31" fillId="0" borderId="2" xfId="0" applyNumberFormat="1" applyFont="1" applyBorder="1"/>
    <xf numFmtId="3" fontId="31" fillId="0" borderId="0" xfId="0" applyNumberFormat="1" applyFont="1"/>
    <xf numFmtId="0" fontId="31" fillId="0" borderId="0" xfId="0" applyFont="1" applyAlignment="1">
      <alignment horizontal="center" vertical="top" wrapText="1"/>
    </xf>
    <xf numFmtId="0" fontId="22" fillId="0" borderId="0" xfId="0" quotePrefix="1" applyFont="1"/>
    <xf numFmtId="3" fontId="7" fillId="0" borderId="0" xfId="0" applyNumberFormat="1" applyFont="1"/>
    <xf numFmtId="0" fontId="7" fillId="0" borderId="0" xfId="0" applyFont="1" applyAlignment="1">
      <alignment horizontal="center" vertical="top" wrapText="1"/>
    </xf>
    <xf numFmtId="0" fontId="7" fillId="0" borderId="0" xfId="0" applyFont="1"/>
    <xf numFmtId="0" fontId="31" fillId="0" borderId="0" xfId="0" applyFont="1" applyAlignment="1">
      <alignment horizontal="left"/>
    </xf>
    <xf numFmtId="0" fontId="31" fillId="0" borderId="0" xfId="0" applyFont="1" applyAlignment="1">
      <alignment horizontal="right"/>
    </xf>
    <xf numFmtId="0" fontId="31" fillId="0" borderId="2" xfId="0" applyFont="1" applyBorder="1" applyAlignment="1">
      <alignment vertical="center"/>
    </xf>
    <xf numFmtId="166" fontId="31" fillId="0" borderId="0" xfId="1" applyNumberFormat="1" applyFont="1" applyFill="1" applyBorder="1" applyAlignment="1">
      <alignment horizontal="center" vertical="top" wrapText="1"/>
    </xf>
    <xf numFmtId="0" fontId="34" fillId="0" borderId="15" xfId="0" applyFont="1" applyBorder="1" applyAlignment="1">
      <alignment horizontal="left" vertical="top" wrapText="1"/>
    </xf>
    <xf numFmtId="3" fontId="33" fillId="0" borderId="13" xfId="0" applyNumberFormat="1" applyFont="1" applyBorder="1" applyAlignment="1">
      <alignment vertical="center" wrapText="1"/>
    </xf>
    <xf numFmtId="3" fontId="33" fillId="0" borderId="0" xfId="0" applyNumberFormat="1" applyFont="1" applyAlignment="1">
      <alignment vertical="top" wrapText="1"/>
    </xf>
    <xf numFmtId="9" fontId="33" fillId="0" borderId="6" xfId="2" applyFont="1" applyFill="1" applyBorder="1" applyAlignment="1">
      <alignment horizontal="center" vertical="center" wrapText="1"/>
    </xf>
    <xf numFmtId="0" fontId="31" fillId="0" borderId="7" xfId="0" applyFont="1" applyBorder="1" applyAlignment="1">
      <alignment horizontal="center" vertical="center"/>
    </xf>
    <xf numFmtId="3" fontId="31" fillId="0" borderId="2" xfId="0" applyNumberFormat="1" applyFont="1" applyBorder="1" applyAlignment="1">
      <alignment vertical="center"/>
    </xf>
    <xf numFmtId="0" fontId="31" fillId="0" borderId="2" xfId="0" applyFont="1" applyBorder="1" applyAlignment="1">
      <alignment horizontal="center" vertical="center" wrapText="1"/>
    </xf>
    <xf numFmtId="3" fontId="31" fillId="0" borderId="0" xfId="0" applyNumberFormat="1" applyFont="1" applyAlignment="1">
      <alignment vertical="center"/>
    </xf>
    <xf numFmtId="9" fontId="31" fillId="0" borderId="0" xfId="2" applyFont="1" applyFill="1" applyBorder="1" applyAlignment="1">
      <alignment vertical="center"/>
    </xf>
    <xf numFmtId="3" fontId="31" fillId="0" borderId="0" xfId="0" applyNumberFormat="1" applyFont="1" applyAlignment="1">
      <alignment vertical="top"/>
    </xf>
    <xf numFmtId="0" fontId="34" fillId="0" borderId="2" xfId="0" applyFont="1" applyBorder="1" applyAlignment="1">
      <alignment horizontal="center" vertical="center" wrapText="1"/>
    </xf>
    <xf numFmtId="3" fontId="33" fillId="0" borderId="6" xfId="0" applyNumberFormat="1" applyFont="1" applyBorder="1" applyAlignment="1">
      <alignment vertical="top" wrapText="1"/>
    </xf>
    <xf numFmtId="9" fontId="7" fillId="0" borderId="13" xfId="2" quotePrefix="1" applyFont="1" applyFill="1" applyBorder="1" applyAlignment="1">
      <alignment horizontal="center" vertical="top"/>
    </xf>
    <xf numFmtId="9" fontId="26" fillId="0" borderId="0" xfId="2" applyFont="1" applyFill="1" applyBorder="1" applyAlignment="1"/>
    <xf numFmtId="9" fontId="33" fillId="0" borderId="6" xfId="2" quotePrefix="1" applyFont="1" applyFill="1" applyBorder="1" applyAlignment="1">
      <alignment horizontal="center" vertical="top" wrapText="1"/>
    </xf>
    <xf numFmtId="9" fontId="26" fillId="0" borderId="0" xfId="2" applyFont="1" applyFill="1" applyBorder="1"/>
    <xf numFmtId="9" fontId="31" fillId="0" borderId="0" xfId="2" applyFont="1" applyFill="1" applyBorder="1"/>
    <xf numFmtId="0" fontId="35" fillId="0" borderId="0" xfId="0" applyFont="1"/>
    <xf numFmtId="0" fontId="35" fillId="4" borderId="0" xfId="0" applyFont="1" applyFill="1"/>
    <xf numFmtId="0" fontId="31" fillId="4" borderId="4" xfId="0" applyFont="1" applyFill="1" applyBorder="1" applyAlignment="1">
      <alignment horizontal="center" vertical="top" wrapText="1"/>
    </xf>
    <xf numFmtId="166" fontId="31" fillId="4" borderId="4" xfId="1" applyNumberFormat="1" applyFont="1" applyFill="1" applyBorder="1" applyAlignment="1">
      <alignment horizontal="center" vertical="top" wrapText="1"/>
    </xf>
    <xf numFmtId="3" fontId="31" fillId="0" borderId="16" xfId="0" applyNumberFormat="1" applyFont="1" applyBorder="1" applyAlignment="1">
      <alignment vertical="top" wrapText="1"/>
    </xf>
    <xf numFmtId="3" fontId="31" fillId="4" borderId="16" xfId="0" applyNumberFormat="1" applyFont="1" applyFill="1" applyBorder="1" applyAlignment="1">
      <alignment vertical="top" wrapText="1"/>
    </xf>
    <xf numFmtId="0" fontId="36" fillId="0" borderId="0" xfId="0" applyFont="1"/>
    <xf numFmtId="3" fontId="36" fillId="0" borderId="0" xfId="0" applyNumberFormat="1" applyFont="1"/>
    <xf numFmtId="0" fontId="37" fillId="0" borderId="0" xfId="0" applyFont="1"/>
    <xf numFmtId="0" fontId="35" fillId="0" borderId="0" xfId="0" applyFont="1" applyAlignment="1">
      <alignment vertical="center"/>
    </xf>
    <xf numFmtId="166" fontId="31" fillId="0" borderId="0" xfId="1" applyNumberFormat="1" applyFont="1" applyFill="1" applyBorder="1"/>
    <xf numFmtId="165" fontId="31" fillId="0" borderId="2" xfId="1" applyFont="1" applyFill="1" applyBorder="1" applyAlignment="1">
      <alignment horizontal="center" vertical="top" wrapText="1"/>
    </xf>
    <xf numFmtId="2" fontId="31" fillId="0" borderId="2" xfId="0" applyNumberFormat="1" applyFont="1" applyBorder="1" applyAlignment="1">
      <alignment horizontal="center" vertical="top" wrapText="1"/>
    </xf>
    <xf numFmtId="9" fontId="33" fillId="0" borderId="6" xfId="2" applyFont="1" applyFill="1" applyBorder="1" applyAlignment="1">
      <alignment horizontal="center" wrapText="1"/>
    </xf>
    <xf numFmtId="9" fontId="33" fillId="2" borderId="6" xfId="2" applyFont="1" applyFill="1" applyBorder="1" applyAlignment="1">
      <alignment horizontal="center" wrapText="1"/>
    </xf>
    <xf numFmtId="169" fontId="31" fillId="0" borderId="2" xfId="0" applyNumberFormat="1" applyFont="1" applyBorder="1" applyAlignment="1">
      <alignment horizontal="center" vertical="top" wrapText="1"/>
    </xf>
    <xf numFmtId="3" fontId="31" fillId="4" borderId="0" xfId="0" applyNumberFormat="1" applyFont="1" applyFill="1" applyAlignment="1">
      <alignment vertical="center"/>
    </xf>
    <xf numFmtId="0" fontId="38" fillId="0" borderId="0" xfId="0" applyFont="1"/>
    <xf numFmtId="0" fontId="39" fillId="0" borderId="0" xfId="0" applyFont="1"/>
    <xf numFmtId="0" fontId="40" fillId="0" borderId="0" xfId="0" applyFont="1"/>
    <xf numFmtId="0" fontId="41" fillId="0" borderId="0" xfId="0" quotePrefix="1" applyFont="1" applyAlignment="1">
      <alignment horizontal="left" vertical="top" wrapText="1" indent="2"/>
    </xf>
    <xf numFmtId="3" fontId="41" fillId="0" borderId="0" xfId="0" applyNumberFormat="1" applyFont="1" applyAlignment="1">
      <alignment vertical="top" wrapText="1"/>
    </xf>
    <xf numFmtId="3" fontId="42" fillId="0" borderId="0" xfId="0" applyNumberFormat="1" applyFont="1" applyAlignment="1">
      <alignment vertical="top"/>
    </xf>
    <xf numFmtId="0" fontId="43" fillId="0" borderId="0" xfId="0" applyFont="1"/>
    <xf numFmtId="0" fontId="42" fillId="0" borderId="0" xfId="0" applyFont="1"/>
    <xf numFmtId="0" fontId="43" fillId="0" borderId="0" xfId="0" applyFont="1" applyAlignment="1">
      <alignment horizontal="center"/>
    </xf>
    <xf numFmtId="0" fontId="44" fillId="0" borderId="18" xfId="0" applyFont="1" applyBorder="1" applyAlignment="1">
      <alignment vertical="top" wrapText="1"/>
    </xf>
    <xf numFmtId="3" fontId="42" fillId="0" borderId="16" xfId="0" applyNumberFormat="1" applyFont="1" applyBorder="1" applyAlignment="1">
      <alignment vertical="top" wrapText="1"/>
    </xf>
    <xf numFmtId="0" fontId="0" fillId="0" borderId="0" xfId="0" applyAlignment="1">
      <alignment vertical="center"/>
    </xf>
    <xf numFmtId="0" fontId="43" fillId="0" borderId="0" xfId="0" quotePrefix="1" applyFont="1" applyAlignment="1">
      <alignment horizontal="left" vertical="top" wrapText="1" indent="2"/>
    </xf>
    <xf numFmtId="3" fontId="43" fillId="0" borderId="0" xfId="0" applyNumberFormat="1" applyFont="1" applyAlignment="1">
      <alignment vertical="top" wrapText="1"/>
    </xf>
    <xf numFmtId="0" fontId="42" fillId="0" borderId="2" xfId="0" quotePrefix="1" applyFont="1" applyBorder="1" applyAlignment="1">
      <alignment horizontal="left" wrapText="1"/>
    </xf>
    <xf numFmtId="3" fontId="42" fillId="0" borderId="2" xfId="0" applyNumberFormat="1" applyFont="1" applyBorder="1" applyAlignment="1">
      <alignment wrapText="1"/>
    </xf>
    <xf numFmtId="0" fontId="42" fillId="0" borderId="2" xfId="0" quotePrefix="1" applyFont="1" applyBorder="1" applyAlignment="1">
      <alignment horizontal="left" vertical="center" wrapText="1"/>
    </xf>
    <xf numFmtId="3" fontId="42" fillId="0" borderId="2" xfId="0" applyNumberFormat="1" applyFont="1" applyBorder="1" applyAlignment="1">
      <alignment vertical="center" wrapText="1"/>
    </xf>
    <xf numFmtId="0" fontId="44" fillId="0" borderId="2" xfId="0" applyFont="1" applyBorder="1" applyAlignment="1">
      <alignment wrapText="1"/>
    </xf>
    <xf numFmtId="0" fontId="5" fillId="0" borderId="16" xfId="0" applyFont="1" applyBorder="1"/>
    <xf numFmtId="9" fontId="5" fillId="0" borderId="2" xfId="0" applyNumberFormat="1" applyFont="1" applyBorder="1"/>
    <xf numFmtId="9" fontId="5" fillId="0" borderId="2" xfId="0" applyNumberFormat="1" applyFont="1" applyBorder="1" applyAlignment="1">
      <alignment vertical="center"/>
    </xf>
    <xf numFmtId="0" fontId="5" fillId="0" borderId="2" xfId="0" applyFont="1" applyBorder="1"/>
    <xf numFmtId="0" fontId="6" fillId="0" borderId="2" xfId="0" applyFont="1" applyBorder="1"/>
    <xf numFmtId="166" fontId="6" fillId="0" borderId="2" xfId="1" applyNumberFormat="1" applyFont="1" applyBorder="1"/>
    <xf numFmtId="0" fontId="4" fillId="0" borderId="0" xfId="0" applyFont="1" applyAlignment="1">
      <alignment horizontal="center" vertical="center"/>
    </xf>
    <xf numFmtId="166" fontId="4" fillId="0" borderId="2" xfId="1" applyNumberFormat="1" applyFont="1" applyFill="1" applyBorder="1" applyAlignment="1">
      <alignment horizontal="center" vertical="center" wrapText="1"/>
    </xf>
    <xf numFmtId="166" fontId="4" fillId="0" borderId="0" xfId="1" applyNumberFormat="1" applyFont="1" applyFill="1" applyBorder="1"/>
    <xf numFmtId="166" fontId="21" fillId="0" borderId="0" xfId="1" applyNumberFormat="1" applyFont="1" applyFill="1" applyBorder="1" applyAlignment="1">
      <alignment horizontal="right"/>
    </xf>
    <xf numFmtId="166" fontId="6" fillId="0" borderId="0" xfId="1" applyNumberFormat="1" applyFont="1" applyFill="1" applyBorder="1"/>
    <xf numFmtId="3" fontId="6" fillId="0" borderId="0" xfId="0" applyNumberFormat="1" applyFont="1" applyAlignment="1">
      <alignment vertical="top" wrapText="1"/>
    </xf>
    <xf numFmtId="0" fontId="23" fillId="0" borderId="0" xfId="0" applyFont="1"/>
    <xf numFmtId="166" fontId="23" fillId="0" borderId="0" xfId="1" applyNumberFormat="1" applyFont="1" applyFill="1" applyBorder="1" applyAlignment="1">
      <alignment horizontal="right"/>
    </xf>
    <xf numFmtId="0" fontId="4" fillId="0" borderId="2" xfId="0" quotePrefix="1" applyFont="1" applyBorder="1" applyAlignment="1">
      <alignment horizontal="center" vertical="center" wrapText="1"/>
    </xf>
    <xf numFmtId="3" fontId="4" fillId="0" borderId="0" xfId="0" applyNumberFormat="1" applyFont="1" applyAlignment="1">
      <alignment horizontal="center" vertical="center" wrapText="1"/>
    </xf>
    <xf numFmtId="0" fontId="21" fillId="0" borderId="0" xfId="0" applyFont="1" applyAlignment="1">
      <alignment horizontal="center" vertical="center"/>
    </xf>
    <xf numFmtId="166" fontId="21" fillId="0" borderId="0" xfId="1" applyNumberFormat="1" applyFont="1" applyFill="1" applyBorder="1" applyAlignment="1">
      <alignment horizontal="center" vertical="center"/>
    </xf>
    <xf numFmtId="0" fontId="6" fillId="0" borderId="2" xfId="0" quotePrefix="1" applyFont="1" applyBorder="1" applyAlignment="1">
      <alignment vertical="top" wrapText="1"/>
    </xf>
    <xf numFmtId="0" fontId="17" fillId="0" borderId="0" xfId="0" applyFont="1"/>
    <xf numFmtId="0" fontId="46" fillId="0" borderId="0" xfId="0" applyFont="1"/>
    <xf numFmtId="0" fontId="6" fillId="0" borderId="2" xfId="0" applyFont="1" applyBorder="1" applyAlignment="1">
      <alignment vertical="center"/>
    </xf>
    <xf numFmtId="0" fontId="23" fillId="0" borderId="0" xfId="0" applyFont="1" applyAlignment="1">
      <alignment vertical="center"/>
    </xf>
    <xf numFmtId="166" fontId="23" fillId="0" borderId="0" xfId="1" applyNumberFormat="1" applyFont="1" applyFill="1" applyBorder="1" applyAlignment="1">
      <alignment horizontal="right" vertical="center"/>
    </xf>
    <xf numFmtId="166" fontId="18" fillId="2" borderId="2" xfId="1" applyNumberFormat="1" applyFont="1" applyFill="1" applyBorder="1"/>
    <xf numFmtId="2" fontId="16" fillId="0" borderId="2" xfId="0" applyNumberFormat="1" applyFont="1" applyBorder="1" applyAlignment="1">
      <alignment horizontal="center" vertical="center"/>
    </xf>
    <xf numFmtId="9" fontId="6" fillId="0" borderId="0" xfId="2" applyFont="1" applyBorder="1" applyAlignment="1">
      <alignment horizontal="center" vertical="top" wrapText="1"/>
    </xf>
    <xf numFmtId="9" fontId="6" fillId="0" borderId="0" xfId="2" applyFont="1" applyBorder="1" applyAlignment="1">
      <alignment horizontal="center" vertical="center" wrapText="1"/>
    </xf>
    <xf numFmtId="3" fontId="6" fillId="0" borderId="2" xfId="0" applyNumberFormat="1" applyFont="1" applyBorder="1" applyAlignment="1">
      <alignment vertical="top" wrapText="1"/>
    </xf>
    <xf numFmtId="0" fontId="0" fillId="0" borderId="2" xfId="0" applyBorder="1"/>
    <xf numFmtId="0" fontId="0" fillId="0" borderId="2" xfId="0" applyBorder="1" applyAlignment="1">
      <alignment vertical="center"/>
    </xf>
    <xf numFmtId="0" fontId="49" fillId="0" borderId="2" xfId="0" applyFont="1" applyBorder="1" applyAlignment="1">
      <alignment vertical="center"/>
    </xf>
    <xf numFmtId="0" fontId="9" fillId="0" borderId="2" xfId="0" applyFont="1" applyBorder="1" applyAlignment="1">
      <alignment vertical="center"/>
    </xf>
    <xf numFmtId="0" fontId="48" fillId="0" borderId="2" xfId="0" applyFont="1" applyBorder="1" applyAlignment="1">
      <alignment vertical="center"/>
    </xf>
    <xf numFmtId="0" fontId="4" fillId="0" borderId="1" xfId="0" applyFont="1" applyBorder="1" applyAlignment="1">
      <alignment horizontal="left" vertical="top" wrapText="1"/>
    </xf>
    <xf numFmtId="3" fontId="42" fillId="0" borderId="2" xfId="0" applyNumberFormat="1" applyFont="1" applyBorder="1" applyAlignment="1">
      <alignment vertical="top" wrapText="1"/>
    </xf>
    <xf numFmtId="0" fontId="4" fillId="0" borderId="2" xfId="0" applyFont="1" applyBorder="1" applyAlignment="1">
      <alignment vertical="center"/>
    </xf>
    <xf numFmtId="9" fontId="6" fillId="0" borderId="2" xfId="2" applyFont="1" applyBorder="1" applyAlignment="1">
      <alignment horizontal="center" vertical="top" wrapText="1"/>
    </xf>
    <xf numFmtId="3" fontId="6" fillId="2" borderId="2" xfId="0" applyNumberFormat="1" applyFont="1" applyFill="1" applyBorder="1" applyAlignment="1">
      <alignment horizontal="center" vertical="top" wrapText="1"/>
    </xf>
    <xf numFmtId="9" fontId="6" fillId="0" borderId="2" xfId="2" applyFont="1" applyBorder="1" applyAlignment="1">
      <alignment horizontal="center" vertical="center" wrapText="1"/>
    </xf>
    <xf numFmtId="0" fontId="3" fillId="0" borderId="2" xfId="0" applyFont="1" applyBorder="1"/>
    <xf numFmtId="9" fontId="4" fillId="0" borderId="2" xfId="2" applyFont="1" applyBorder="1" applyAlignment="1">
      <alignment vertical="top" wrapText="1"/>
    </xf>
    <xf numFmtId="9" fontId="6" fillId="0" borderId="2" xfId="2" quotePrefix="1" applyFont="1" applyBorder="1" applyAlignment="1">
      <alignment vertical="center" wrapText="1"/>
    </xf>
    <xf numFmtId="9" fontId="6" fillId="0" borderId="2" xfId="2" quotePrefix="1" applyFont="1" applyFill="1" applyBorder="1" applyAlignment="1">
      <alignment vertical="center" wrapText="1"/>
    </xf>
    <xf numFmtId="0" fontId="16" fillId="0" borderId="0" xfId="0" applyFont="1" applyAlignment="1">
      <alignment vertical="center"/>
    </xf>
    <xf numFmtId="0" fontId="33" fillId="0" borderId="2" xfId="0" quotePrefix="1" applyFont="1" applyBorder="1" applyAlignment="1">
      <alignment horizontal="left" wrapText="1"/>
    </xf>
    <xf numFmtId="3" fontId="18" fillId="0" borderId="2" xfId="1" applyNumberFormat="1" applyFont="1" applyFill="1" applyBorder="1"/>
    <xf numFmtId="3" fontId="19" fillId="0" borderId="2" xfId="2" applyNumberFormat="1" applyFont="1" applyFill="1" applyBorder="1" applyAlignment="1">
      <alignment wrapText="1"/>
    </xf>
    <xf numFmtId="3" fontId="18" fillId="2" borderId="2" xfId="1" applyNumberFormat="1" applyFont="1" applyFill="1" applyBorder="1"/>
    <xf numFmtId="0" fontId="18" fillId="0" borderId="2" xfId="0" quotePrefix="1" applyFont="1" applyBorder="1" applyAlignment="1">
      <alignment horizontal="left" vertical="center" wrapText="1"/>
    </xf>
    <xf numFmtId="3" fontId="18" fillId="0" borderId="2" xfId="1" applyNumberFormat="1" applyFont="1" applyFill="1" applyBorder="1" applyAlignment="1">
      <alignment vertical="center"/>
    </xf>
    <xf numFmtId="9" fontId="18" fillId="0" borderId="2" xfId="2" applyFont="1" applyFill="1" applyBorder="1" applyAlignment="1">
      <alignment horizontal="center" vertical="center" wrapText="1"/>
    </xf>
    <xf numFmtId="0" fontId="18" fillId="0" borderId="0" xfId="0" applyFont="1" applyAlignment="1">
      <alignment vertical="center"/>
    </xf>
    <xf numFmtId="3" fontId="6" fillId="0" borderId="2" xfId="1" applyNumberFormat="1" applyFont="1" applyFill="1" applyBorder="1"/>
    <xf numFmtId="3" fontId="43" fillId="0" borderId="2" xfId="0" applyNumberFormat="1" applyFont="1" applyBorder="1" applyAlignment="1">
      <alignment vertical="center"/>
    </xf>
    <xf numFmtId="0" fontId="43" fillId="0" borderId="0" xfId="0" quotePrefix="1" applyFont="1" applyAlignment="1">
      <alignment horizontal="left" vertical="center"/>
    </xf>
    <xf numFmtId="0" fontId="5" fillId="0" borderId="0" xfId="0" applyFont="1" applyAlignment="1">
      <alignment vertical="center"/>
    </xf>
    <xf numFmtId="0" fontId="43" fillId="0" borderId="2" xfId="0" quotePrefix="1" applyFont="1" applyBorder="1" applyAlignment="1">
      <alignment horizontal="left" vertical="center" wrapText="1"/>
    </xf>
    <xf numFmtId="3" fontId="43" fillId="0" borderId="2" xfId="0" applyNumberFormat="1" applyFont="1" applyBorder="1" applyAlignment="1">
      <alignment vertical="center" wrapText="1"/>
    </xf>
    <xf numFmtId="0" fontId="5" fillId="0" borderId="2" xfId="0" applyFont="1" applyBorder="1" applyAlignment="1">
      <alignment vertical="center"/>
    </xf>
    <xf numFmtId="0" fontId="43" fillId="0" borderId="2" xfId="0" applyFont="1" applyBorder="1" applyAlignment="1">
      <alignment horizontal="center" vertical="center"/>
    </xf>
    <xf numFmtId="2" fontId="43" fillId="0" borderId="2" xfId="0" applyNumberFormat="1" applyFont="1" applyBorder="1" applyAlignment="1">
      <alignment horizontal="center" vertical="center" wrapText="1"/>
    </xf>
    <xf numFmtId="3" fontId="43" fillId="0" borderId="0" xfId="0" applyNumberFormat="1" applyFont="1" applyAlignment="1">
      <alignment vertical="center" wrapText="1"/>
    </xf>
    <xf numFmtId="165" fontId="43" fillId="0" borderId="2" xfId="1" applyFont="1" applyFill="1" applyBorder="1" applyAlignment="1">
      <alignment horizontal="center" vertical="center" wrapText="1"/>
    </xf>
    <xf numFmtId="3" fontId="22" fillId="0" borderId="0" xfId="0" applyNumberFormat="1" applyFont="1" applyAlignment="1">
      <alignment vertical="center" wrapText="1"/>
    </xf>
    <xf numFmtId="0" fontId="22" fillId="0" borderId="0" xfId="0" applyFont="1" applyAlignment="1">
      <alignment vertical="center"/>
    </xf>
    <xf numFmtId="166" fontId="22" fillId="0" borderId="0" xfId="1" applyNumberFormat="1" applyFont="1" applyBorder="1" applyAlignment="1">
      <alignment horizontal="right" vertical="center"/>
    </xf>
    <xf numFmtId="166" fontId="22" fillId="0" borderId="0" xfId="1" applyNumberFormat="1" applyFont="1" applyBorder="1" applyAlignment="1">
      <alignment vertical="center"/>
    </xf>
    <xf numFmtId="3" fontId="6" fillId="0" borderId="7" xfId="1" applyNumberFormat="1" applyFont="1" applyFill="1" applyBorder="1"/>
    <xf numFmtId="3" fontId="6" fillId="2" borderId="2" xfId="1" applyNumberFormat="1" applyFont="1" applyFill="1" applyBorder="1"/>
    <xf numFmtId="3" fontId="6" fillId="0" borderId="0" xfId="0" applyNumberFormat="1" applyFont="1"/>
    <xf numFmtId="3" fontId="22" fillId="0" borderId="2" xfId="1" applyNumberFormat="1" applyFont="1" applyFill="1" applyBorder="1"/>
    <xf numFmtId="3" fontId="22" fillId="0" borderId="2" xfId="0" applyNumberFormat="1" applyFont="1" applyBorder="1" applyAlignment="1">
      <alignment horizontal="right"/>
    </xf>
    <xf numFmtId="3" fontId="22" fillId="0" borderId="7" xfId="0" applyNumberFormat="1" applyFont="1" applyBorder="1" applyAlignment="1">
      <alignment horizontal="right"/>
    </xf>
    <xf numFmtId="3" fontId="4" fillId="0" borderId="0" xfId="0" applyNumberFormat="1" applyFont="1" applyAlignment="1">
      <alignment horizontal="right"/>
    </xf>
    <xf numFmtId="3" fontId="4" fillId="0" borderId="2" xfId="0" applyNumberFormat="1" applyFont="1" applyBorder="1" applyAlignment="1">
      <alignment horizontal="right" vertical="center"/>
    </xf>
    <xf numFmtId="3" fontId="4" fillId="0" borderId="2" xfId="0" applyNumberFormat="1" applyFont="1" applyBorder="1" applyAlignment="1">
      <alignment horizontal="right"/>
    </xf>
    <xf numFmtId="3" fontId="4" fillId="0" borderId="7" xfId="0" applyNumberFormat="1" applyFont="1" applyBorder="1" applyAlignment="1">
      <alignment horizontal="right"/>
    </xf>
    <xf numFmtId="3" fontId="6" fillId="0" borderId="2" xfId="1" applyNumberFormat="1" applyFont="1" applyFill="1" applyBorder="1" applyAlignment="1">
      <alignment horizontal="right"/>
    </xf>
    <xf numFmtId="3" fontId="6" fillId="0" borderId="7" xfId="1" applyNumberFormat="1" applyFont="1" applyFill="1" applyBorder="1" applyAlignment="1">
      <alignment horizontal="right"/>
    </xf>
    <xf numFmtId="3" fontId="6" fillId="2" borderId="2" xfId="1" applyNumberFormat="1" applyFont="1" applyFill="1" applyBorder="1" applyAlignment="1">
      <alignment horizontal="right"/>
    </xf>
    <xf numFmtId="3" fontId="6" fillId="2" borderId="7" xfId="1" applyNumberFormat="1" applyFont="1" applyFill="1" applyBorder="1" applyAlignment="1">
      <alignment horizontal="right"/>
    </xf>
    <xf numFmtId="3" fontId="6" fillId="0" borderId="2" xfId="0" applyNumberFormat="1" applyFont="1" applyBorder="1" applyAlignment="1">
      <alignment horizontal="right"/>
    </xf>
    <xf numFmtId="3" fontId="28" fillId="0" borderId="2" xfId="0" applyNumberFormat="1" applyFont="1" applyBorder="1" applyAlignment="1">
      <alignment horizontal="right"/>
    </xf>
    <xf numFmtId="3" fontId="28" fillId="0" borderId="7" xfId="0" applyNumberFormat="1" applyFont="1" applyBorder="1" applyAlignment="1">
      <alignment horizontal="right"/>
    </xf>
    <xf numFmtId="3" fontId="6" fillId="0" borderId="0" xfId="0" applyNumberFormat="1" applyFont="1" applyAlignment="1">
      <alignment horizontal="right"/>
    </xf>
    <xf numFmtId="3" fontId="22" fillId="0" borderId="2" xfId="1" applyNumberFormat="1" applyFont="1" applyFill="1" applyBorder="1" applyAlignment="1">
      <alignment horizontal="right"/>
    </xf>
    <xf numFmtId="3" fontId="22" fillId="0" borderId="7" xfId="1" applyNumberFormat="1" applyFont="1" applyFill="1" applyBorder="1" applyAlignment="1">
      <alignment horizontal="right"/>
    </xf>
    <xf numFmtId="3" fontId="4" fillId="0" borderId="0" xfId="1" applyNumberFormat="1" applyFont="1" applyFill="1" applyAlignment="1">
      <alignment horizontal="right"/>
    </xf>
    <xf numFmtId="0" fontId="6" fillId="0" borderId="2" xfId="0" quotePrefix="1" applyFont="1" applyBorder="1" applyAlignment="1">
      <alignment horizontal="center" vertical="center" wrapText="1"/>
    </xf>
    <xf numFmtId="9" fontId="6" fillId="0" borderId="2" xfId="0" quotePrefix="1" applyNumberFormat="1" applyFont="1" applyBorder="1" applyAlignment="1">
      <alignment horizontal="center" wrapText="1"/>
    </xf>
    <xf numFmtId="3" fontId="22" fillId="0" borderId="0" xfId="0" applyNumberFormat="1" applyFont="1"/>
    <xf numFmtId="3" fontId="22" fillId="0" borderId="0" xfId="1" applyNumberFormat="1" applyFont="1" applyFill="1"/>
    <xf numFmtId="3" fontId="6" fillId="0" borderId="10" xfId="0" quotePrefix="1" applyNumberFormat="1" applyFont="1" applyBorder="1" applyAlignment="1">
      <alignment horizontal="center" wrapText="1"/>
    </xf>
    <xf numFmtId="3" fontId="6" fillId="0" borderId="2" xfId="1" applyNumberFormat="1" applyFont="1" applyFill="1" applyBorder="1" applyAlignment="1">
      <alignment vertical="center"/>
    </xf>
    <xf numFmtId="0" fontId="4" fillId="0" borderId="2" xfId="0" applyFont="1" applyBorder="1" applyAlignment="1">
      <alignment horizontal="right"/>
    </xf>
    <xf numFmtId="0" fontId="4" fillId="0" borderId="10" xfId="0" applyFont="1" applyBorder="1" applyAlignment="1">
      <alignment horizontal="right" vertical="center" wrapText="1"/>
    </xf>
    <xf numFmtId="2" fontId="4" fillId="0" borderId="2" xfId="0" applyNumberFormat="1" applyFont="1" applyBorder="1" applyAlignment="1">
      <alignment horizontal="right" vertical="center" wrapText="1"/>
    </xf>
    <xf numFmtId="166" fontId="26" fillId="0" borderId="0" xfId="1" applyNumberFormat="1" applyFont="1" applyFill="1" applyAlignment="1">
      <alignment horizontal="right"/>
    </xf>
    <xf numFmtId="0" fontId="4" fillId="0" borderId="2" xfId="0" applyFont="1" applyBorder="1" applyAlignment="1">
      <alignment horizontal="right" vertical="center"/>
    </xf>
    <xf numFmtId="3" fontId="6" fillId="0" borderId="2" xfId="0" applyNumberFormat="1" applyFont="1" applyBorder="1" applyAlignment="1">
      <alignment horizontal="right" vertical="center"/>
    </xf>
    <xf numFmtId="3" fontId="22" fillId="0" borderId="0" xfId="0" applyNumberFormat="1" applyFont="1" applyAlignment="1">
      <alignment horizontal="right"/>
    </xf>
    <xf numFmtId="3" fontId="22" fillId="0" borderId="2" xfId="0" applyNumberFormat="1" applyFont="1" applyBorder="1" applyAlignment="1">
      <alignment horizontal="right" vertical="center"/>
    </xf>
    <xf numFmtId="3" fontId="22" fillId="0" borderId="0" xfId="1" applyNumberFormat="1" applyFont="1" applyFill="1" applyAlignment="1">
      <alignment horizontal="right"/>
    </xf>
    <xf numFmtId="3" fontId="6" fillId="0" borderId="2" xfId="1" applyNumberFormat="1" applyFont="1" applyFill="1" applyBorder="1" applyAlignment="1">
      <alignment horizontal="right" vertical="center"/>
    </xf>
    <xf numFmtId="0" fontId="6" fillId="0" borderId="0" xfId="0" applyFont="1" applyAlignment="1">
      <alignment horizontal="right"/>
    </xf>
    <xf numFmtId="168" fontId="4" fillId="0" borderId="2" xfId="1" applyNumberFormat="1" applyFont="1" applyBorder="1" applyAlignment="1">
      <alignment horizontal="right" vertical="center" wrapText="1"/>
    </xf>
    <xf numFmtId="166" fontId="27" fillId="0" borderId="0" xfId="1" applyNumberFormat="1" applyFont="1" applyFill="1" applyAlignment="1">
      <alignment horizontal="right"/>
    </xf>
    <xf numFmtId="166" fontId="3" fillId="0" borderId="0" xfId="0" applyNumberFormat="1" applyFont="1" applyAlignment="1">
      <alignment horizontal="right"/>
    </xf>
    <xf numFmtId="0" fontId="3" fillId="0" borderId="0" xfId="0" applyFont="1" applyAlignment="1">
      <alignment horizontal="right"/>
    </xf>
    <xf numFmtId="0" fontId="5" fillId="0" borderId="0" xfId="0" applyFont="1" applyAlignment="1">
      <alignment horizontal="right"/>
    </xf>
    <xf numFmtId="0" fontId="6" fillId="0" borderId="5" xfId="0" quotePrefix="1" applyFont="1" applyBorder="1" applyAlignment="1">
      <alignment vertical="center" wrapText="1"/>
    </xf>
    <xf numFmtId="0" fontId="6" fillId="2" borderId="5" xfId="0" quotePrefix="1" applyFont="1" applyFill="1" applyBorder="1" applyAlignment="1">
      <alignment vertical="top" wrapText="1"/>
    </xf>
    <xf numFmtId="9" fontId="7" fillId="0" borderId="13" xfId="2" quotePrefix="1" applyFont="1" applyFill="1" applyBorder="1" applyAlignment="1">
      <alignment horizontal="center" vertical="center"/>
    </xf>
    <xf numFmtId="9" fontId="26" fillId="0" borderId="0" xfId="2" applyFont="1" applyFill="1" applyBorder="1" applyAlignment="1">
      <alignment vertical="center"/>
    </xf>
    <xf numFmtId="0" fontId="26" fillId="0" borderId="0" xfId="0" applyFont="1" applyAlignment="1">
      <alignment vertical="center"/>
    </xf>
    <xf numFmtId="2" fontId="43" fillId="2" borderId="2" xfId="0" applyNumberFormat="1" applyFont="1" applyFill="1" applyBorder="1" applyAlignment="1">
      <alignment horizontal="center" vertical="center" wrapText="1"/>
    </xf>
    <xf numFmtId="0" fontId="43" fillId="2" borderId="2" xfId="0" applyFont="1" applyFill="1" applyBorder="1" applyAlignment="1">
      <alignment horizontal="center" vertical="center"/>
    </xf>
    <xf numFmtId="3" fontId="42" fillId="2" borderId="2" xfId="0" applyNumberFormat="1" applyFont="1" applyFill="1" applyBorder="1" applyAlignment="1">
      <alignment wrapText="1"/>
    </xf>
    <xf numFmtId="3" fontId="42" fillId="2" borderId="2" xfId="0" applyNumberFormat="1" applyFont="1" applyFill="1" applyBorder="1" applyAlignment="1">
      <alignment vertical="center" wrapText="1"/>
    </xf>
    <xf numFmtId="3" fontId="43" fillId="2" borderId="2" xfId="0" applyNumberFormat="1" applyFont="1" applyFill="1" applyBorder="1" applyAlignment="1">
      <alignment vertical="center" wrapText="1"/>
    </xf>
    <xf numFmtId="3" fontId="42" fillId="2" borderId="16" xfId="0" applyNumberFormat="1" applyFont="1" applyFill="1" applyBorder="1" applyAlignment="1">
      <alignment vertical="top" wrapText="1"/>
    </xf>
    <xf numFmtId="3" fontId="6" fillId="5" borderId="6" xfId="0" applyNumberFormat="1" applyFont="1" applyFill="1" applyBorder="1" applyAlignment="1">
      <alignment vertical="top" wrapText="1"/>
    </xf>
    <xf numFmtId="9" fontId="6" fillId="5" borderId="2" xfId="2" applyFont="1" applyFill="1" applyBorder="1" applyAlignment="1">
      <alignment horizontal="center" vertical="top" wrapText="1"/>
    </xf>
    <xf numFmtId="0" fontId="6" fillId="3" borderId="0" xfId="0" applyFont="1" applyFill="1"/>
    <xf numFmtId="0" fontId="18" fillId="3" borderId="0" xfId="0" applyFont="1" applyFill="1"/>
    <xf numFmtId="3" fontId="18" fillId="5" borderId="2" xfId="1" applyNumberFormat="1" applyFont="1" applyFill="1" applyBorder="1"/>
    <xf numFmtId="9" fontId="18" fillId="5" borderId="2" xfId="2" applyFont="1" applyFill="1" applyBorder="1" applyAlignment="1">
      <alignment horizontal="center" wrapText="1"/>
    </xf>
    <xf numFmtId="0" fontId="31" fillId="5" borderId="2" xfId="0" applyFont="1" applyFill="1" applyBorder="1" applyAlignment="1">
      <alignment horizontal="center" vertical="top" wrapText="1"/>
    </xf>
    <xf numFmtId="9" fontId="33" fillId="2" borderId="6" xfId="2" quotePrefix="1" applyFont="1" applyFill="1" applyBorder="1" applyAlignment="1">
      <alignment horizontal="center" vertical="top" wrapText="1"/>
    </xf>
    <xf numFmtId="166" fontId="18" fillId="5" borderId="2" xfId="1" applyNumberFormat="1" applyFont="1" applyFill="1" applyBorder="1"/>
    <xf numFmtId="3" fontId="6" fillId="3" borderId="0" xfId="0" applyNumberFormat="1" applyFont="1" applyFill="1" applyAlignment="1">
      <alignment vertical="center" wrapText="1"/>
    </xf>
    <xf numFmtId="0" fontId="4" fillId="0" borderId="8" xfId="0" applyFont="1" applyBorder="1" applyAlignment="1">
      <alignment horizontal="center" vertical="center" wrapText="1"/>
    </xf>
    <xf numFmtId="9" fontId="6" fillId="0" borderId="14" xfId="0" applyNumberFormat="1" applyFont="1" applyBorder="1" applyAlignment="1">
      <alignment horizontal="center" vertical="center" wrapText="1"/>
    </xf>
    <xf numFmtId="0" fontId="22" fillId="0" borderId="18" xfId="0" applyFont="1" applyBorder="1" applyAlignment="1">
      <alignment vertical="center" wrapText="1"/>
    </xf>
    <xf numFmtId="0" fontId="6" fillId="3" borderId="0" xfId="0" applyFont="1" applyFill="1" applyAlignment="1">
      <alignment vertical="center"/>
    </xf>
    <xf numFmtId="166" fontId="23" fillId="3" borderId="0" xfId="1" applyNumberFormat="1" applyFont="1" applyFill="1" applyBorder="1" applyAlignment="1">
      <alignment vertical="center"/>
    </xf>
    <xf numFmtId="0" fontId="22" fillId="0" borderId="9" xfId="0" applyFont="1" applyBorder="1" applyAlignment="1">
      <alignment horizontal="center" vertical="center"/>
    </xf>
    <xf numFmtId="0" fontId="22" fillId="0" borderId="10" xfId="0" applyFont="1" applyBorder="1" applyAlignment="1">
      <alignment horizontal="center" vertical="center"/>
    </xf>
    <xf numFmtId="0" fontId="52" fillId="0" borderId="0" xfId="0" applyFont="1"/>
    <xf numFmtId="170" fontId="22" fillId="0" borderId="10" xfId="3" applyNumberFormat="1" applyFont="1" applyBorder="1" applyAlignment="1">
      <alignment horizontal="center" vertical="center" wrapText="1"/>
    </xf>
    <xf numFmtId="170" fontId="22" fillId="0" borderId="2" xfId="3" applyNumberFormat="1" applyFont="1" applyBorder="1"/>
    <xf numFmtId="170" fontId="4" fillId="0" borderId="0" xfId="3" applyNumberFormat="1" applyFont="1"/>
    <xf numFmtId="0" fontId="53" fillId="0" borderId="0" xfId="0" applyFont="1"/>
    <xf numFmtId="0" fontId="22" fillId="0" borderId="7" xfId="0" applyFont="1" applyBorder="1" applyAlignment="1">
      <alignment horizontal="left" vertical="center"/>
    </xf>
    <xf numFmtId="0" fontId="22" fillId="0" borderId="2" xfId="0" applyFont="1" applyBorder="1" applyAlignment="1">
      <alignment horizontal="left" vertical="center"/>
    </xf>
    <xf numFmtId="0" fontId="22" fillId="0" borderId="2" xfId="0" applyFont="1" applyBorder="1" applyAlignment="1">
      <alignment wrapText="1"/>
    </xf>
    <xf numFmtId="0" fontId="7" fillId="3" borderId="2" xfId="0" applyFont="1" applyFill="1" applyBorder="1" applyAlignment="1">
      <alignment horizontal="center"/>
    </xf>
    <xf numFmtId="0" fontId="7" fillId="3" borderId="7" xfId="0" applyFont="1" applyFill="1" applyBorder="1" applyAlignment="1">
      <alignment horizontal="left"/>
    </xf>
    <xf numFmtId="0" fontId="7" fillId="3" borderId="9" xfId="0" applyFont="1" applyFill="1" applyBorder="1" applyAlignment="1">
      <alignment horizontal="left"/>
    </xf>
    <xf numFmtId="0" fontId="7" fillId="3" borderId="10" xfId="0" applyFont="1" applyFill="1" applyBorder="1" applyAlignment="1">
      <alignment horizontal="left"/>
    </xf>
    <xf numFmtId="0" fontId="7" fillId="0" borderId="2" xfId="0" applyFont="1" applyBorder="1" applyAlignment="1">
      <alignment horizontal="center"/>
    </xf>
    <xf numFmtId="166" fontId="7" fillId="0" borderId="2" xfId="1" applyNumberFormat="1" applyFont="1" applyFill="1" applyBorder="1"/>
    <xf numFmtId="0" fontId="7" fillId="0" borderId="2" xfId="0" quotePrefix="1" applyFont="1" applyBorder="1" applyAlignment="1">
      <alignment wrapText="1"/>
    </xf>
    <xf numFmtId="0" fontId="7" fillId="0" borderId="2" xfId="0" applyFont="1" applyBorder="1" applyAlignment="1">
      <alignment horizontal="left"/>
    </xf>
    <xf numFmtId="0" fontId="7" fillId="0" borderId="7" xfId="0" applyFont="1" applyBorder="1" applyAlignment="1">
      <alignment horizontal="left"/>
    </xf>
    <xf numFmtId="0" fontId="7" fillId="0" borderId="9" xfId="0" applyFont="1" applyBorder="1" applyAlignment="1">
      <alignment horizontal="left"/>
    </xf>
    <xf numFmtId="0" fontId="7" fillId="0" borderId="10" xfId="0" applyFont="1" applyBorder="1" applyAlignment="1">
      <alignment horizontal="left"/>
    </xf>
    <xf numFmtId="9" fontId="7" fillId="0" borderId="2" xfId="0" quotePrefix="1" applyNumberFormat="1" applyFont="1" applyBorder="1" applyAlignment="1">
      <alignment wrapText="1"/>
    </xf>
    <xf numFmtId="166" fontId="22" fillId="0" borderId="2" xfId="0" applyNumberFormat="1" applyFont="1" applyBorder="1" applyAlignment="1">
      <alignment horizontal="left"/>
    </xf>
    <xf numFmtId="0" fontId="22" fillId="3" borderId="0" xfId="0" applyFont="1" applyFill="1"/>
    <xf numFmtId="0" fontId="22" fillId="3" borderId="23" xfId="0" applyFont="1" applyFill="1" applyBorder="1"/>
    <xf numFmtId="0" fontId="22" fillId="0" borderId="0" xfId="0" applyFont="1" applyAlignment="1">
      <alignment horizontal="center"/>
    </xf>
    <xf numFmtId="0" fontId="22" fillId="3" borderId="2" xfId="0" applyFont="1" applyFill="1" applyBorder="1" applyAlignment="1">
      <alignment horizontal="center" vertical="center"/>
    </xf>
    <xf numFmtId="0" fontId="22" fillId="3" borderId="7" xfId="0" applyFont="1" applyFill="1" applyBorder="1" applyAlignment="1">
      <alignment horizontal="left" vertical="center"/>
    </xf>
    <xf numFmtId="0" fontId="22" fillId="3" borderId="9" xfId="0" applyFont="1" applyFill="1" applyBorder="1" applyAlignment="1">
      <alignment horizontal="center" vertical="center"/>
    </xf>
    <xf numFmtId="0" fontId="22" fillId="3" borderId="10" xfId="0" applyFont="1" applyFill="1" applyBorder="1" applyAlignment="1">
      <alignment horizontal="center" vertical="center"/>
    </xf>
    <xf numFmtId="0" fontId="7" fillId="0" borderId="2" xfId="0" quotePrefix="1" applyFont="1" applyBorder="1" applyAlignment="1">
      <alignment horizontal="left" wrapText="1"/>
    </xf>
    <xf numFmtId="0" fontId="7" fillId="3" borderId="7" xfId="0" applyFont="1" applyFill="1" applyBorder="1" applyAlignment="1">
      <alignment horizontal="left" vertical="center"/>
    </xf>
    <xf numFmtId="0" fontId="7" fillId="3" borderId="9" xfId="0" applyFont="1" applyFill="1" applyBorder="1" applyAlignment="1">
      <alignment horizontal="left" vertical="center"/>
    </xf>
    <xf numFmtId="0" fontId="7" fillId="3" borderId="10" xfId="0" applyFont="1" applyFill="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wrapText="1"/>
    </xf>
    <xf numFmtId="0" fontId="7" fillId="0" borderId="7" xfId="0" applyFont="1" applyBorder="1"/>
    <xf numFmtId="0" fontId="7" fillId="0" borderId="9" xfId="0" applyFont="1" applyBorder="1"/>
    <xf numFmtId="0" fontId="7" fillId="0" borderId="10" xfId="0" applyFont="1" applyBorder="1"/>
    <xf numFmtId="0" fontId="54" fillId="0" borderId="0" xfId="0" applyFont="1"/>
    <xf numFmtId="166" fontId="22" fillId="0" borderId="2" xfId="1" applyNumberFormat="1" applyFont="1" applyFill="1" applyBorder="1"/>
    <xf numFmtId="0" fontId="7" fillId="0" borderId="7" xfId="0" quotePrefix="1" applyFont="1" applyBorder="1" applyAlignment="1">
      <alignment horizontal="left"/>
    </xf>
    <xf numFmtId="0" fontId="7" fillId="3" borderId="9" xfId="0" applyFont="1" applyFill="1" applyBorder="1" applyAlignment="1">
      <alignment horizontal="center"/>
    </xf>
    <xf numFmtId="0" fontId="7" fillId="3" borderId="10" xfId="0" applyFont="1" applyFill="1" applyBorder="1" applyAlignment="1">
      <alignment horizontal="center"/>
    </xf>
    <xf numFmtId="0" fontId="7" fillId="0" borderId="2" xfId="0" quotePrefix="1" applyFont="1" applyBorder="1"/>
    <xf numFmtId="166" fontId="22" fillId="0" borderId="2" xfId="0" applyNumberFormat="1" applyFont="1" applyBorder="1"/>
    <xf numFmtId="0" fontId="7" fillId="3" borderId="2" xfId="0" applyFont="1" applyFill="1" applyBorder="1" applyAlignment="1">
      <alignment horizontal="center" vertical="center"/>
    </xf>
    <xf numFmtId="0" fontId="7" fillId="0" borderId="2" xfId="0" applyFont="1" applyBorder="1" applyAlignment="1">
      <alignment horizontal="left" vertical="center"/>
    </xf>
    <xf numFmtId="0" fontId="7" fillId="0" borderId="2" xfId="0" quotePrefix="1" applyFont="1" applyBorder="1" applyAlignment="1">
      <alignment vertical="center" wrapText="1"/>
    </xf>
    <xf numFmtId="0" fontId="6" fillId="2" borderId="5" xfId="0" quotePrefix="1" applyFont="1" applyFill="1" applyBorder="1" applyAlignment="1">
      <alignment vertical="center" wrapText="1"/>
    </xf>
    <xf numFmtId="9" fontId="6" fillId="2" borderId="2" xfId="2" applyFont="1" applyFill="1" applyBorder="1" applyAlignment="1">
      <alignment horizontal="center" vertical="center" wrapText="1"/>
    </xf>
    <xf numFmtId="165" fontId="4" fillId="0" borderId="4" xfId="1" applyFont="1" applyFill="1" applyBorder="1" applyAlignment="1">
      <alignment horizontal="center" vertical="center" wrapText="1"/>
    </xf>
    <xf numFmtId="4" fontId="6" fillId="0" borderId="6" xfId="0" applyNumberFormat="1" applyFont="1" applyBorder="1" applyAlignment="1">
      <alignment vertical="center" wrapText="1"/>
    </xf>
    <xf numFmtId="3" fontId="6" fillId="0" borderId="6" xfId="0" applyNumberFormat="1" applyFont="1" applyBorder="1" applyAlignment="1">
      <alignment horizontal="right" vertical="center" wrapText="1"/>
    </xf>
    <xf numFmtId="3" fontId="6" fillId="0" borderId="16" xfId="0" applyNumberFormat="1" applyFont="1" applyBorder="1" applyAlignment="1">
      <alignment horizontal="right" vertical="top" wrapText="1"/>
    </xf>
    <xf numFmtId="3" fontId="6" fillId="0" borderId="16" xfId="0" applyNumberFormat="1" applyFont="1" applyBorder="1" applyAlignment="1">
      <alignment vertical="top" wrapText="1"/>
    </xf>
    <xf numFmtId="0" fontId="6" fillId="0" borderId="4" xfId="0" applyFont="1" applyBorder="1" applyAlignment="1">
      <alignment horizontal="right" vertical="top" wrapText="1"/>
    </xf>
    <xf numFmtId="165" fontId="6" fillId="0" borderId="4" xfId="1" applyFont="1" applyFill="1" applyBorder="1" applyAlignment="1">
      <alignment horizontal="center" vertical="center" wrapText="1"/>
    </xf>
    <xf numFmtId="0" fontId="16" fillId="2" borderId="2" xfId="0" applyFont="1" applyFill="1" applyBorder="1" applyAlignment="1">
      <alignment horizontal="center" vertical="center"/>
    </xf>
    <xf numFmtId="0" fontId="13" fillId="0" borderId="0" xfId="0" applyFont="1" applyAlignment="1">
      <alignment horizontal="center" vertical="center" wrapText="1"/>
    </xf>
    <xf numFmtId="0" fontId="13" fillId="0" borderId="0" xfId="0" applyFont="1" applyAlignment="1">
      <alignment vertical="center" wrapText="1"/>
    </xf>
    <xf numFmtId="0" fontId="39" fillId="0" borderId="0" xfId="0" applyFont="1" applyAlignment="1">
      <alignment horizontal="left"/>
    </xf>
    <xf numFmtId="0" fontId="39" fillId="0" borderId="0" xfId="0" applyFont="1" applyAlignment="1">
      <alignment horizontal="center"/>
    </xf>
    <xf numFmtId="0" fontId="38" fillId="0" borderId="0" xfId="0" applyFont="1" applyAlignment="1">
      <alignment horizontal="right"/>
    </xf>
    <xf numFmtId="0" fontId="39" fillId="0" borderId="0" xfId="0" applyFont="1" applyAlignment="1">
      <alignment horizontal="right"/>
    </xf>
    <xf numFmtId="9" fontId="42" fillId="0" borderId="0" xfId="0" applyNumberFormat="1" applyFont="1"/>
    <xf numFmtId="0" fontId="16" fillId="2" borderId="2" xfId="0" applyFont="1" applyFill="1" applyBorder="1" applyAlignment="1">
      <alignment horizontal="center"/>
    </xf>
    <xf numFmtId="2" fontId="4" fillId="2" borderId="2" xfId="0" applyNumberFormat="1" applyFont="1" applyFill="1" applyBorder="1" applyAlignment="1">
      <alignment horizontal="right" vertical="center" wrapText="1"/>
    </xf>
    <xf numFmtId="0" fontId="4" fillId="2" borderId="2" xfId="0" applyFont="1" applyFill="1" applyBorder="1" applyAlignment="1">
      <alignment horizontal="center"/>
    </xf>
    <xf numFmtId="165" fontId="4" fillId="0" borderId="2" xfId="1" applyFont="1" applyBorder="1" applyAlignment="1">
      <alignment horizontal="center" vertical="top" wrapText="1"/>
    </xf>
    <xf numFmtId="0" fontId="4" fillId="3" borderId="2" xfId="0" applyFont="1" applyFill="1" applyBorder="1" applyAlignment="1">
      <alignment horizontal="center"/>
    </xf>
    <xf numFmtId="0" fontId="16" fillId="3" borderId="2" xfId="0" applyFont="1" applyFill="1" applyBorder="1" applyAlignment="1">
      <alignment horizontal="center"/>
    </xf>
    <xf numFmtId="0" fontId="4" fillId="2" borderId="2" xfId="0" applyFont="1" applyFill="1" applyBorder="1" applyAlignment="1">
      <alignment horizontal="center" vertical="center"/>
    </xf>
    <xf numFmtId="0" fontId="4" fillId="2" borderId="2" xfId="0" applyFont="1" applyFill="1" applyBorder="1" applyAlignment="1">
      <alignment horizontal="right"/>
    </xf>
    <xf numFmtId="0" fontId="4" fillId="2" borderId="7" xfId="0" applyFont="1" applyFill="1" applyBorder="1" applyAlignment="1">
      <alignment horizontal="center"/>
    </xf>
    <xf numFmtId="0" fontId="22" fillId="2" borderId="2" xfId="0" applyFont="1" applyFill="1" applyBorder="1" applyAlignment="1">
      <alignment horizontal="center"/>
    </xf>
    <xf numFmtId="0" fontId="31" fillId="6" borderId="2" xfId="0" applyFont="1" applyFill="1" applyBorder="1" applyAlignment="1">
      <alignment horizontal="center"/>
    </xf>
    <xf numFmtId="0" fontId="31" fillId="2" borderId="2" xfId="0" applyFont="1" applyFill="1" applyBorder="1" applyAlignment="1">
      <alignment horizontal="center"/>
    </xf>
    <xf numFmtId="165" fontId="4" fillId="0" borderId="10" xfId="1" applyFont="1" applyBorder="1" applyAlignment="1">
      <alignment horizontal="right" vertical="center" wrapText="1"/>
    </xf>
    <xf numFmtId="171" fontId="6" fillId="0" borderId="2" xfId="0" quotePrefix="1" applyNumberFormat="1" applyFont="1" applyBorder="1" applyAlignment="1">
      <alignment horizontal="center" wrapText="1"/>
    </xf>
    <xf numFmtId="171" fontId="7" fillId="0" borderId="2" xfId="0" quotePrefix="1" applyNumberFormat="1" applyFont="1" applyBorder="1" applyAlignment="1">
      <alignment wrapText="1"/>
    </xf>
    <xf numFmtId="0" fontId="33" fillId="0" borderId="2" xfId="0" quotePrefix="1" applyFont="1" applyBorder="1" applyAlignment="1">
      <alignment vertical="top" wrapText="1"/>
    </xf>
    <xf numFmtId="0" fontId="33" fillId="0" borderId="2" xfId="0" quotePrefix="1" applyFont="1" applyBorder="1" applyAlignment="1">
      <alignment vertical="center" wrapText="1"/>
    </xf>
    <xf numFmtId="0" fontId="7" fillId="2" borderId="2" xfId="0" quotePrefix="1" applyFont="1" applyFill="1" applyBorder="1" applyAlignment="1">
      <alignment vertical="top" wrapText="1"/>
    </xf>
    <xf numFmtId="3" fontId="6" fillId="0" borderId="5" xfId="0" applyNumberFormat="1" applyFont="1" applyBorder="1" applyAlignment="1">
      <alignment vertical="center" wrapText="1"/>
    </xf>
    <xf numFmtId="3" fontId="6" fillId="2" borderId="5" xfId="0" applyNumberFormat="1" applyFont="1" applyFill="1" applyBorder="1" applyAlignment="1">
      <alignment vertical="center" wrapText="1"/>
    </xf>
    <xf numFmtId="3" fontId="4" fillId="0" borderId="7" xfId="0" applyNumberFormat="1" applyFont="1" applyBorder="1" applyAlignment="1">
      <alignment vertical="center" wrapText="1"/>
    </xf>
    <xf numFmtId="0" fontId="0" fillId="0" borderId="16" xfId="0" applyBorder="1"/>
    <xf numFmtId="9" fontId="0" fillId="0" borderId="4" xfId="0" applyNumberFormat="1" applyBorder="1"/>
    <xf numFmtId="0" fontId="38" fillId="0" borderId="0" xfId="0" applyFont="1" applyAlignment="1">
      <alignment vertical="center" wrapText="1"/>
    </xf>
    <xf numFmtId="0" fontId="18" fillId="0" borderId="0" xfId="0" quotePrefix="1" applyFont="1" applyAlignment="1">
      <alignment vertical="top" wrapText="1"/>
    </xf>
    <xf numFmtId="172" fontId="18" fillId="0" borderId="0" xfId="0" applyNumberFormat="1" applyFont="1"/>
    <xf numFmtId="0" fontId="16" fillId="0" borderId="0" xfId="0" applyFont="1" applyAlignment="1">
      <alignment horizontal="center"/>
    </xf>
    <xf numFmtId="0" fontId="16" fillId="0" borderId="1" xfId="0" applyFont="1" applyBorder="1" applyAlignment="1">
      <alignment horizontal="left" vertical="top" wrapText="1"/>
    </xf>
    <xf numFmtId="0" fontId="16" fillId="0" borderId="3" xfId="0" applyFont="1" applyBorder="1" applyAlignment="1">
      <alignment horizontal="left" vertical="top" wrapText="1"/>
    </xf>
    <xf numFmtId="9" fontId="16" fillId="0" borderId="2" xfId="2" applyFont="1" applyFill="1" applyBorder="1" applyAlignment="1">
      <alignment horizontal="center" vertical="center"/>
    </xf>
    <xf numFmtId="0" fontId="22" fillId="0" borderId="2"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0" xfId="0" applyFont="1" applyAlignment="1">
      <alignment horizontal="left"/>
    </xf>
    <xf numFmtId="0" fontId="4" fillId="0" borderId="0" xfId="0" applyFont="1" applyAlignment="1">
      <alignment horizontal="center" vertical="center"/>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16" xfId="0" applyFont="1" applyBorder="1" applyAlignment="1">
      <alignment horizontal="center" vertical="center" wrapText="1"/>
    </xf>
    <xf numFmtId="0" fontId="4" fillId="0" borderId="8" xfId="0" applyFont="1" applyBorder="1" applyAlignment="1">
      <alignment horizontal="center" vertical="center" wrapText="1"/>
    </xf>
    <xf numFmtId="0" fontId="38" fillId="0" borderId="0" xfId="0" applyFont="1" applyAlignment="1">
      <alignment horizontal="left" vertical="center" wrapText="1"/>
    </xf>
    <xf numFmtId="0" fontId="43" fillId="0" borderId="20" xfId="0" applyFont="1" applyBorder="1" applyAlignment="1">
      <alignment horizontal="left" vertical="top" wrapText="1"/>
    </xf>
    <xf numFmtId="0" fontId="43" fillId="0" borderId="21" xfId="0" applyFont="1" applyBorder="1" applyAlignment="1">
      <alignment horizontal="left" vertical="top" wrapText="1"/>
    </xf>
    <xf numFmtId="0" fontId="3" fillId="0" borderId="16" xfId="0" applyFont="1" applyBorder="1" applyAlignment="1">
      <alignment horizontal="center" vertical="center"/>
    </xf>
    <xf numFmtId="0" fontId="3" fillId="0" borderId="8" xfId="0" applyFont="1" applyBorder="1" applyAlignment="1">
      <alignment horizontal="center" vertical="center"/>
    </xf>
    <xf numFmtId="0" fontId="22" fillId="0" borderId="0" xfId="0" applyFont="1" applyAlignment="1">
      <alignment horizontal="left" vertical="center" wrapText="1"/>
    </xf>
    <xf numFmtId="0" fontId="22" fillId="0" borderId="22" xfId="0" quotePrefix="1" applyFont="1" applyBorder="1" applyAlignment="1">
      <alignment horizontal="left" vertical="center" wrapText="1"/>
    </xf>
    <xf numFmtId="0" fontId="6" fillId="0" borderId="0" xfId="0" applyFont="1" applyAlignment="1">
      <alignment horizontal="center" vertical="center" wrapText="1"/>
    </xf>
    <xf numFmtId="0" fontId="17" fillId="0" borderId="0" xfId="0" applyFont="1" applyAlignment="1">
      <alignment horizontal="center" vertical="center" wrapText="1"/>
    </xf>
    <xf numFmtId="0" fontId="16" fillId="0" borderId="2" xfId="0" applyFont="1" applyBorder="1" applyAlignment="1">
      <alignment horizontal="center" vertical="top" wrapText="1"/>
    </xf>
    <xf numFmtId="0" fontId="22" fillId="0" borderId="18"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5" xfId="0" applyFont="1" applyBorder="1" applyAlignment="1">
      <alignment horizontal="center" vertical="center" wrapText="1"/>
    </xf>
    <xf numFmtId="0" fontId="7" fillId="0" borderId="0" xfId="0" applyFont="1" applyAlignment="1">
      <alignment horizontal="center" wrapText="1"/>
    </xf>
    <xf numFmtId="0" fontId="22" fillId="0" borderId="7" xfId="0" applyFont="1" applyBorder="1" applyAlignment="1">
      <alignment horizontal="left"/>
    </xf>
    <xf numFmtId="0" fontId="22" fillId="0" borderId="9" xfId="0" applyFont="1" applyBorder="1" applyAlignment="1">
      <alignment horizontal="left"/>
    </xf>
    <xf numFmtId="0" fontId="22" fillId="0" borderId="10" xfId="0" applyFont="1" applyBorder="1" applyAlignment="1">
      <alignment horizontal="left"/>
    </xf>
    <xf numFmtId="0" fontId="4" fillId="0" borderId="19" xfId="0" applyFont="1" applyBorder="1" applyAlignment="1">
      <alignment horizontal="center"/>
    </xf>
    <xf numFmtId="0" fontId="4" fillId="0" borderId="18"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16" xfId="0" applyFont="1" applyBorder="1" applyAlignment="1">
      <alignment horizontal="center" wrapText="1"/>
    </xf>
    <xf numFmtId="0" fontId="4" fillId="0" borderId="8" xfId="0" applyFont="1" applyBorder="1" applyAlignment="1">
      <alignment horizontal="center" wrapText="1"/>
    </xf>
    <xf numFmtId="0" fontId="22" fillId="0" borderId="7" xfId="0" applyFont="1" applyBorder="1" applyAlignment="1">
      <alignment horizontal="center"/>
    </xf>
    <xf numFmtId="0" fontId="22" fillId="0" borderId="9" xfId="0" applyFont="1" applyBorder="1" applyAlignment="1">
      <alignment horizontal="center"/>
    </xf>
    <xf numFmtId="0" fontId="22" fillId="0" borderId="10" xfId="0" applyFont="1" applyBorder="1" applyAlignment="1">
      <alignment horizontal="center"/>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22" fillId="0" borderId="7" xfId="0" applyFont="1" applyBorder="1" applyAlignment="1">
      <alignment horizontal="center" vertical="center"/>
    </xf>
    <xf numFmtId="0" fontId="22" fillId="0" borderId="9" xfId="0" applyFont="1" applyBorder="1" applyAlignment="1">
      <alignment horizontal="center" vertical="center"/>
    </xf>
    <xf numFmtId="0" fontId="22" fillId="0" borderId="10" xfId="0" applyFont="1" applyBorder="1" applyAlignment="1">
      <alignment horizontal="center" vertical="center"/>
    </xf>
    <xf numFmtId="0" fontId="6" fillId="0" borderId="7" xfId="0" applyFont="1" applyBorder="1" applyAlignment="1">
      <alignment horizontal="left"/>
    </xf>
    <xf numFmtId="0" fontId="6" fillId="0" borderId="9" xfId="0" applyFont="1" applyBorder="1" applyAlignment="1">
      <alignment horizontal="left"/>
    </xf>
    <xf numFmtId="0" fontId="6" fillId="0" borderId="10" xfId="0" applyFont="1" applyBorder="1" applyAlignment="1">
      <alignment horizontal="left"/>
    </xf>
    <xf numFmtId="3" fontId="6" fillId="0" borderId="7" xfId="0" quotePrefix="1" applyNumberFormat="1" applyFont="1" applyBorder="1" applyAlignment="1">
      <alignment horizontal="center" wrapText="1"/>
    </xf>
    <xf numFmtId="3" fontId="6" fillId="0" borderId="9" xfId="0" quotePrefix="1" applyNumberFormat="1" applyFont="1" applyBorder="1" applyAlignment="1">
      <alignment horizontal="center" wrapText="1"/>
    </xf>
    <xf numFmtId="3" fontId="6" fillId="0" borderId="10" xfId="0" quotePrefix="1" applyNumberFormat="1" applyFont="1" applyBorder="1" applyAlignment="1">
      <alignment horizontal="center" wrapText="1"/>
    </xf>
    <xf numFmtId="0" fontId="6" fillId="0" borderId="7"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31" fillId="0" borderId="2" xfId="0" applyFont="1" applyBorder="1" applyAlignment="1">
      <alignment horizontal="center" vertical="center" wrapText="1"/>
    </xf>
    <xf numFmtId="166" fontId="31" fillId="0" borderId="11" xfId="1" applyNumberFormat="1" applyFont="1" applyFill="1" applyBorder="1" applyAlignment="1">
      <alignment horizontal="center" vertical="top" wrapText="1"/>
    </xf>
    <xf numFmtId="166" fontId="31" fillId="0" borderId="19" xfId="1" applyNumberFormat="1" applyFont="1" applyFill="1" applyBorder="1" applyAlignment="1">
      <alignment horizontal="center" vertical="top" wrapText="1"/>
    </xf>
    <xf numFmtId="166" fontId="31" fillId="0" borderId="25" xfId="1" applyNumberFormat="1" applyFont="1" applyFill="1" applyBorder="1" applyAlignment="1">
      <alignment horizontal="center" vertical="top" wrapText="1"/>
    </xf>
    <xf numFmtId="0" fontId="31" fillId="0" borderId="1" xfId="0" applyFont="1" applyBorder="1" applyAlignment="1">
      <alignment horizontal="left" vertical="top" wrapText="1"/>
    </xf>
    <xf numFmtId="0" fontId="31" fillId="0" borderId="3" xfId="0" applyFont="1" applyBorder="1" applyAlignment="1">
      <alignment horizontal="left" vertical="top" wrapText="1"/>
    </xf>
    <xf numFmtId="0" fontId="31" fillId="0" borderId="2" xfId="0" applyFont="1" applyBorder="1" applyAlignment="1">
      <alignment horizontal="center" vertical="center"/>
    </xf>
    <xf numFmtId="0" fontId="43" fillId="0" borderId="20" xfId="0" applyFont="1" applyBorder="1" applyAlignment="1">
      <alignment horizontal="left" vertical="center" wrapText="1"/>
    </xf>
    <xf numFmtId="0" fontId="43" fillId="0" borderId="21" xfId="0" applyFont="1" applyBorder="1" applyAlignment="1">
      <alignment horizontal="left" vertical="center"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xf>
    <xf numFmtId="3" fontId="3" fillId="0" borderId="2" xfId="0" applyNumberFormat="1" applyFont="1" applyBorder="1" applyAlignment="1">
      <alignment horizontal="center" vertical="center" wrapText="1"/>
    </xf>
    <xf numFmtId="0" fontId="16" fillId="0" borderId="2" xfId="0" applyFont="1" applyBorder="1" applyAlignment="1">
      <alignment horizontal="center"/>
    </xf>
    <xf numFmtId="0" fontId="16" fillId="0" borderId="7" xfId="0" applyFont="1" applyBorder="1" applyAlignment="1">
      <alignment horizontal="center" vertical="center"/>
    </xf>
    <xf numFmtId="0" fontId="16" fillId="0" borderId="10" xfId="0" applyFont="1" applyBorder="1" applyAlignment="1">
      <alignment horizontal="center" vertical="center"/>
    </xf>
    <xf numFmtId="0" fontId="16" fillId="0" borderId="2"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4" fillId="0" borderId="2" xfId="0" applyFont="1" applyBorder="1" applyAlignment="1">
      <alignment vertical="center" wrapText="1"/>
    </xf>
    <xf numFmtId="3" fontId="4" fillId="0" borderId="2" xfId="0" applyNumberFormat="1" applyFont="1" applyBorder="1" applyAlignment="1">
      <alignment horizontal="center" vertical="center" wrapText="1"/>
    </xf>
    <xf numFmtId="0" fontId="4" fillId="2" borderId="0" xfId="0" applyFont="1" applyFill="1"/>
    <xf numFmtId="0" fontId="4" fillId="2" borderId="0" xfId="0" applyFont="1" applyFill="1" applyAlignment="1">
      <alignment horizontal="center"/>
    </xf>
    <xf numFmtId="165" fontId="4" fillId="2" borderId="4" xfId="1" applyFont="1" applyFill="1" applyBorder="1" applyAlignment="1">
      <alignment horizontal="center" vertical="top" wrapText="1"/>
    </xf>
    <xf numFmtId="3" fontId="4" fillId="2" borderId="16" xfId="0" applyNumberFormat="1" applyFont="1" applyFill="1" applyBorder="1" applyAlignment="1">
      <alignment vertical="top" wrapText="1"/>
    </xf>
    <xf numFmtId="3" fontId="4" fillId="2" borderId="2" xfId="0" applyNumberFormat="1" applyFont="1" applyFill="1" applyBorder="1" applyAlignment="1">
      <alignment vertical="center" wrapText="1"/>
    </xf>
    <xf numFmtId="3" fontId="4" fillId="2" borderId="0" xfId="0" applyNumberFormat="1" applyFont="1" applyFill="1" applyAlignment="1">
      <alignment vertical="top" wrapText="1"/>
    </xf>
    <xf numFmtId="0" fontId="4" fillId="2" borderId="4" xfId="0" applyFont="1" applyFill="1" applyBorder="1" applyAlignment="1">
      <alignment horizontal="center" vertical="top" wrapText="1"/>
    </xf>
    <xf numFmtId="168" fontId="4" fillId="2" borderId="4" xfId="1" applyNumberFormat="1" applyFont="1" applyFill="1" applyBorder="1" applyAlignment="1">
      <alignment horizontal="center" vertical="center" wrapText="1"/>
    </xf>
    <xf numFmtId="3" fontId="4" fillId="2" borderId="0" xfId="0" applyNumberFormat="1" applyFont="1" applyFill="1" applyAlignment="1">
      <alignment vertical="top"/>
    </xf>
    <xf numFmtId="168" fontId="4" fillId="2" borderId="4" xfId="1" applyNumberFormat="1" applyFont="1" applyFill="1" applyBorder="1" applyAlignment="1">
      <alignment horizontal="center" vertical="top" wrapText="1"/>
    </xf>
    <xf numFmtId="3" fontId="4" fillId="2" borderId="2" xfId="0" applyNumberFormat="1" applyFont="1" applyFill="1" applyBorder="1"/>
    <xf numFmtId="3" fontId="4" fillId="2" borderId="0" xfId="0" applyNumberFormat="1" applyFont="1" applyFill="1"/>
    <xf numFmtId="3" fontId="4" fillId="2" borderId="22" xfId="0" applyNumberFormat="1" applyFont="1" applyFill="1" applyBorder="1"/>
    <xf numFmtId="0" fontId="6" fillId="2" borderId="0" xfId="0" applyFont="1" applyFill="1"/>
    <xf numFmtId="0" fontId="6" fillId="0" borderId="2" xfId="0" quotePrefix="1" applyFont="1" applyBorder="1"/>
    <xf numFmtId="43" fontId="0" fillId="0" borderId="0" xfId="0" applyNumberFormat="1"/>
    <xf numFmtId="43" fontId="0" fillId="2" borderId="0" xfId="0" applyNumberFormat="1" applyFill="1"/>
    <xf numFmtId="0" fontId="40" fillId="2" borderId="0" xfId="0" applyFont="1" applyFill="1"/>
    <xf numFmtId="3" fontId="41" fillId="2" borderId="0" xfId="0" applyNumberFormat="1" applyFont="1" applyFill="1" applyAlignment="1">
      <alignment vertical="top" wrapText="1"/>
    </xf>
    <xf numFmtId="0" fontId="43" fillId="2" borderId="0" xfId="0" applyFont="1" applyFill="1"/>
    <xf numFmtId="3" fontId="43" fillId="2" borderId="0" xfId="0" applyNumberFormat="1" applyFont="1" applyFill="1" applyAlignment="1">
      <alignment vertical="center" wrapText="1"/>
    </xf>
    <xf numFmtId="3" fontId="43" fillId="2" borderId="0" xfId="0" applyNumberFormat="1" applyFont="1" applyFill="1" applyAlignment="1">
      <alignment vertical="top" wrapText="1"/>
    </xf>
    <xf numFmtId="165" fontId="43" fillId="2" borderId="2" xfId="1" applyFont="1" applyFill="1" applyBorder="1" applyAlignment="1">
      <alignment horizontal="center" vertical="center" wrapText="1"/>
    </xf>
    <xf numFmtId="0" fontId="0" fillId="2" borderId="0" xfId="0" applyFill="1" applyAlignment="1">
      <alignment vertical="center"/>
    </xf>
    <xf numFmtId="0" fontId="4" fillId="2" borderId="0" xfId="0" applyFont="1" applyFill="1" applyAlignment="1">
      <alignment horizontal="center" vertical="center"/>
    </xf>
    <xf numFmtId="3" fontId="42" fillId="2" borderId="0" xfId="0" applyNumberFormat="1" applyFont="1" applyFill="1" applyAlignment="1">
      <alignment vertical="top"/>
    </xf>
    <xf numFmtId="166" fontId="3" fillId="2" borderId="0" xfId="1" applyNumberFormat="1" applyFont="1" applyFill="1"/>
    <xf numFmtId="3" fontId="42" fillId="2" borderId="2" xfId="0" applyNumberFormat="1" applyFont="1" applyFill="1" applyBorder="1" applyAlignment="1">
      <alignment vertical="top" wrapText="1"/>
    </xf>
    <xf numFmtId="0" fontId="43" fillId="2" borderId="0" xfId="0" applyFont="1" applyFill="1" applyAlignment="1">
      <alignment horizontal="center"/>
    </xf>
    <xf numFmtId="0" fontId="42" fillId="2" borderId="0" xfId="0" applyFont="1" applyFill="1"/>
    <xf numFmtId="0" fontId="39" fillId="0" borderId="0" xfId="0" applyFont="1" applyFill="1"/>
    <xf numFmtId="0" fontId="40" fillId="0" borderId="0" xfId="0" applyFont="1" applyFill="1"/>
    <xf numFmtId="3" fontId="41" fillId="0" borderId="0" xfId="0" applyNumberFormat="1" applyFont="1" applyFill="1" applyAlignment="1">
      <alignment vertical="top" wrapText="1"/>
    </xf>
    <xf numFmtId="0" fontId="43" fillId="0" borderId="0" xfId="0" applyFont="1" applyFill="1"/>
    <xf numFmtId="0" fontId="43" fillId="0" borderId="2" xfId="0" applyFont="1" applyFill="1" applyBorder="1" applyAlignment="1">
      <alignment horizontal="center" vertical="center"/>
    </xf>
    <xf numFmtId="0" fontId="43" fillId="0" borderId="2" xfId="0" applyFont="1" applyFill="1" applyBorder="1" applyAlignment="1">
      <alignment horizontal="center" vertical="center" wrapText="1"/>
    </xf>
    <xf numFmtId="2" fontId="43" fillId="0" borderId="2" xfId="0" applyNumberFormat="1" applyFont="1" applyFill="1" applyBorder="1" applyAlignment="1">
      <alignment horizontal="center" vertical="center" wrapText="1"/>
    </xf>
    <xf numFmtId="3" fontId="42" fillId="0" borderId="16" xfId="0" applyNumberFormat="1" applyFont="1" applyFill="1" applyBorder="1" applyAlignment="1">
      <alignment vertical="top" wrapText="1"/>
    </xf>
    <xf numFmtId="3" fontId="42" fillId="0" borderId="2" xfId="0" applyNumberFormat="1" applyFont="1" applyFill="1" applyBorder="1" applyAlignment="1">
      <alignment wrapText="1"/>
    </xf>
    <xf numFmtId="3" fontId="42" fillId="0" borderId="2" xfId="0" applyNumberFormat="1" applyFont="1" applyFill="1" applyBorder="1" applyAlignment="1">
      <alignment vertical="center" wrapText="1"/>
    </xf>
    <xf numFmtId="3" fontId="43" fillId="0" borderId="2" xfId="0" applyNumberFormat="1" applyFont="1" applyFill="1" applyBorder="1" applyAlignment="1">
      <alignment vertical="center" wrapText="1"/>
    </xf>
    <xf numFmtId="3" fontId="43" fillId="0" borderId="0" xfId="0" applyNumberFormat="1" applyFont="1" applyFill="1" applyAlignment="1">
      <alignment vertical="center" wrapText="1"/>
    </xf>
    <xf numFmtId="3" fontId="43" fillId="0" borderId="0" xfId="0" applyNumberFormat="1" applyFont="1" applyFill="1" applyAlignment="1">
      <alignment vertical="top" wrapText="1"/>
    </xf>
    <xf numFmtId="0" fontId="31" fillId="0" borderId="0" xfId="0" applyFont="1" applyFill="1"/>
    <xf numFmtId="0" fontId="0" fillId="0" borderId="0" xfId="0" applyFill="1" applyAlignment="1">
      <alignment vertical="center"/>
    </xf>
    <xf numFmtId="0" fontId="4" fillId="0" borderId="0" xfId="0" applyFont="1" applyFill="1"/>
    <xf numFmtId="0" fontId="4" fillId="0" borderId="0" xfId="0" applyFont="1" applyFill="1" applyAlignment="1">
      <alignment horizontal="center" vertical="center"/>
    </xf>
    <xf numFmtId="0" fontId="6" fillId="0" borderId="0" xfId="0" applyFont="1" applyFill="1"/>
    <xf numFmtId="0" fontId="0" fillId="0" borderId="0" xfId="0" applyFill="1"/>
    <xf numFmtId="0" fontId="16" fillId="2" borderId="0" xfId="0" applyFont="1" applyFill="1"/>
    <xf numFmtId="165" fontId="16" fillId="2" borderId="2" xfId="1" applyFont="1" applyFill="1" applyBorder="1" applyAlignment="1">
      <alignment horizontal="center" vertical="center"/>
    </xf>
    <xf numFmtId="3" fontId="19" fillId="2" borderId="2" xfId="2" applyNumberFormat="1" applyFont="1" applyFill="1" applyBorder="1" applyAlignment="1">
      <alignment wrapText="1"/>
    </xf>
    <xf numFmtId="3" fontId="18" fillId="2" borderId="2" xfId="1" applyNumberFormat="1" applyFont="1" applyFill="1" applyBorder="1" applyAlignment="1">
      <alignment vertical="center"/>
    </xf>
    <xf numFmtId="167" fontId="19" fillId="2" borderId="17" xfId="0" applyNumberFormat="1" applyFont="1" applyFill="1" applyBorder="1" applyAlignment="1">
      <alignment horizontal="right" wrapText="1"/>
    </xf>
    <xf numFmtId="167" fontId="19" fillId="2" borderId="6" xfId="0" applyNumberFormat="1" applyFont="1" applyFill="1" applyBorder="1" applyAlignment="1">
      <alignment horizontal="right" wrapText="1"/>
    </xf>
    <xf numFmtId="3" fontId="19" fillId="2" borderId="6" xfId="0" applyNumberFormat="1" applyFont="1" applyFill="1" applyBorder="1" applyAlignment="1">
      <alignment wrapText="1"/>
    </xf>
    <xf numFmtId="3" fontId="19" fillId="2" borderId="14" xfId="0" applyNumberFormat="1" applyFont="1" applyFill="1" applyBorder="1" applyAlignment="1">
      <alignment wrapText="1"/>
    </xf>
    <xf numFmtId="3" fontId="16" fillId="2" borderId="2" xfId="0" applyNumberFormat="1" applyFont="1" applyFill="1" applyBorder="1"/>
  </cellXfs>
  <cellStyles count="4">
    <cellStyle name="Comma" xfId="1" builtinId="3"/>
    <cellStyle name="Comma [0]" xfId="3"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
  <sheetViews>
    <sheetView view="pageBreakPreview" zoomScale="160" zoomScaleNormal="100" zoomScaleSheetLayoutView="160" workbookViewId="0">
      <selection activeCell="L19" sqref="L19:L20"/>
    </sheetView>
  </sheetViews>
  <sheetFormatPr defaultColWidth="9.140625" defaultRowHeight="16.5" x14ac:dyDescent="0.25"/>
  <cols>
    <col min="1" max="1" width="31.140625" style="85" customWidth="1"/>
    <col min="2" max="2" width="13.85546875" style="85" customWidth="1"/>
    <col min="3" max="4" width="11.42578125" style="85" customWidth="1"/>
    <col min="5" max="5" width="11.42578125" style="85" bestFit="1" customWidth="1"/>
    <col min="6" max="8" width="12.7109375" style="85" customWidth="1"/>
    <col min="9" max="9" width="13.140625" style="85" bestFit="1" customWidth="1"/>
    <col min="10" max="10" width="11.42578125" style="86" customWidth="1"/>
    <col min="11" max="11" width="11.42578125" style="85" bestFit="1" customWidth="1"/>
    <col min="12" max="12" width="11.140625" style="85" customWidth="1"/>
    <col min="13" max="16384" width="9.140625" style="85"/>
  </cols>
  <sheetData>
    <row r="1" spans="1:12" x14ac:dyDescent="0.25">
      <c r="A1" s="85" t="s">
        <v>18</v>
      </c>
    </row>
    <row r="2" spans="1:12" s="87" customFormat="1" x14ac:dyDescent="0.25">
      <c r="A2" s="87" t="s">
        <v>139</v>
      </c>
      <c r="J2" s="88"/>
      <c r="K2" s="87">
        <f>B18*0.95</f>
        <v>6.08E-2</v>
      </c>
    </row>
    <row r="3" spans="1:12" s="87" customFormat="1" x14ac:dyDescent="0.25">
      <c r="F3" s="89"/>
      <c r="G3" s="89"/>
      <c r="H3" s="89"/>
      <c r="I3" s="89"/>
      <c r="J3" s="90"/>
    </row>
    <row r="4" spans="1:12" s="87" customFormat="1" x14ac:dyDescent="0.25">
      <c r="A4" s="87" t="s">
        <v>401</v>
      </c>
      <c r="H4" s="563" t="s">
        <v>136</v>
      </c>
      <c r="I4" s="563"/>
      <c r="J4" s="91">
        <v>234000</v>
      </c>
      <c r="K4" s="87" t="s">
        <v>135</v>
      </c>
    </row>
    <row r="5" spans="1:12" s="87" customFormat="1" x14ac:dyDescent="0.25">
      <c r="A5" s="564" t="s">
        <v>133</v>
      </c>
      <c r="B5" s="75" t="s">
        <v>1</v>
      </c>
      <c r="C5" s="75" t="s">
        <v>2</v>
      </c>
      <c r="D5" s="75" t="s">
        <v>3</v>
      </c>
      <c r="E5" s="75" t="s">
        <v>4</v>
      </c>
      <c r="F5" s="542" t="s">
        <v>5</v>
      </c>
      <c r="G5" s="537" t="s">
        <v>125</v>
      </c>
      <c r="H5" s="537" t="s">
        <v>126</v>
      </c>
      <c r="I5" s="537" t="s">
        <v>127</v>
      </c>
      <c r="J5" s="537" t="s">
        <v>146</v>
      </c>
      <c r="K5" s="537" t="s">
        <v>147</v>
      </c>
      <c r="L5" s="566" t="s">
        <v>134</v>
      </c>
    </row>
    <row r="6" spans="1:12" s="92" customFormat="1" ht="21.75" customHeight="1" x14ac:dyDescent="0.25">
      <c r="A6" s="565"/>
      <c r="B6" s="76">
        <v>0.26</v>
      </c>
      <c r="C6" s="79">
        <f>B6*1.3</f>
        <v>0.33800000000000002</v>
      </c>
      <c r="D6" s="79">
        <f t="shared" ref="D6:F6" si="0">C6*1.3</f>
        <v>0.43940000000000007</v>
      </c>
      <c r="E6" s="79">
        <f t="shared" si="0"/>
        <v>0.57122000000000006</v>
      </c>
      <c r="F6" s="79">
        <f t="shared" si="0"/>
        <v>0.74258600000000008</v>
      </c>
      <c r="G6" s="79">
        <f t="shared" ref="G6" si="1">F6*1.4</f>
        <v>1.0396204</v>
      </c>
      <c r="H6" s="79">
        <f t="shared" ref="H6" si="2">G6*1.4</f>
        <v>1.4554685599999999</v>
      </c>
      <c r="I6" s="79">
        <f t="shared" ref="I6" si="3">H6*1.4</f>
        <v>2.0376559839999997</v>
      </c>
      <c r="J6" s="79">
        <f t="shared" ref="J6" si="4">I6*1.4</f>
        <v>2.8527183775999996</v>
      </c>
      <c r="K6" s="79">
        <f t="shared" ref="K6" si="5">J6*1.4</f>
        <v>3.9938057286399991</v>
      </c>
      <c r="L6" s="566"/>
    </row>
    <row r="7" spans="1:12" ht="18" customHeight="1" x14ac:dyDescent="0.25">
      <c r="A7" s="93" t="s">
        <v>9</v>
      </c>
      <c r="B7" s="94">
        <f t="shared" ref="B7:I7" si="6">ROUNDDOWN(B9*$L$7,-3)</f>
        <v>15000</v>
      </c>
      <c r="C7" s="94">
        <f t="shared" si="6"/>
        <v>20000</v>
      </c>
      <c r="D7" s="94">
        <f t="shared" si="6"/>
        <v>26000</v>
      </c>
      <c r="E7" s="94">
        <f t="shared" si="6"/>
        <v>34000</v>
      </c>
      <c r="F7" s="94">
        <f t="shared" si="6"/>
        <v>44000</v>
      </c>
      <c r="G7" s="94">
        <f t="shared" si="6"/>
        <v>63000</v>
      </c>
      <c r="H7" s="94">
        <f t="shared" si="6"/>
        <v>88000</v>
      </c>
      <c r="I7" s="94">
        <f t="shared" si="6"/>
        <v>123000</v>
      </c>
      <c r="J7" s="94">
        <f t="shared" ref="J7:K7" si="7">ROUNDDOWN(J9*$L$7,-3)</f>
        <v>173000</v>
      </c>
      <c r="K7" s="94">
        <f t="shared" si="7"/>
        <v>242000</v>
      </c>
      <c r="L7" s="95">
        <v>0.26</v>
      </c>
    </row>
    <row r="8" spans="1:12" ht="18" customHeight="1" x14ac:dyDescent="0.25">
      <c r="A8" s="93" t="s">
        <v>16</v>
      </c>
      <c r="B8" s="94">
        <f t="shared" ref="B8:I8" si="8">ROUNDDOWN(B9*$L$8,-3)</f>
        <v>12000</v>
      </c>
      <c r="C8" s="94">
        <f t="shared" si="8"/>
        <v>15000</v>
      </c>
      <c r="D8" s="94">
        <f t="shared" si="8"/>
        <v>20000</v>
      </c>
      <c r="E8" s="94">
        <f t="shared" si="8"/>
        <v>26000</v>
      </c>
      <c r="F8" s="94">
        <f t="shared" si="8"/>
        <v>34000</v>
      </c>
      <c r="G8" s="94">
        <f t="shared" si="8"/>
        <v>48000</v>
      </c>
      <c r="H8" s="94">
        <f t="shared" si="8"/>
        <v>68000</v>
      </c>
      <c r="I8" s="94">
        <f t="shared" si="8"/>
        <v>95000</v>
      </c>
      <c r="J8" s="94">
        <f t="shared" ref="J8:K8" si="9">ROUNDDOWN(J9*$L$8,-3)</f>
        <v>133000</v>
      </c>
      <c r="K8" s="94">
        <f t="shared" si="9"/>
        <v>186000</v>
      </c>
      <c r="L8" s="95">
        <v>0.2</v>
      </c>
    </row>
    <row r="9" spans="1:12" ht="18" customHeight="1" x14ac:dyDescent="0.25">
      <c r="A9" s="120" t="s">
        <v>128</v>
      </c>
      <c r="B9" s="358">
        <f t="shared" ref="B9:H9" si="10">ROUNDDOWN(B6*$J$4,-3)</f>
        <v>60000</v>
      </c>
      <c r="C9" s="358">
        <f t="shared" si="10"/>
        <v>79000</v>
      </c>
      <c r="D9" s="358">
        <f t="shared" si="10"/>
        <v>102000</v>
      </c>
      <c r="E9" s="358">
        <f t="shared" si="10"/>
        <v>133000</v>
      </c>
      <c r="F9" s="358">
        <f t="shared" si="10"/>
        <v>173000</v>
      </c>
      <c r="G9" s="358">
        <f t="shared" si="10"/>
        <v>243000</v>
      </c>
      <c r="H9" s="358">
        <f t="shared" si="10"/>
        <v>340000</v>
      </c>
      <c r="I9" s="358">
        <f t="shared" ref="I9:K9" si="11">ROUNDDOWN(I6*$J$4,-3)</f>
        <v>476000</v>
      </c>
      <c r="J9" s="358">
        <f t="shared" si="11"/>
        <v>667000</v>
      </c>
      <c r="K9" s="358">
        <f t="shared" si="11"/>
        <v>934000</v>
      </c>
      <c r="L9" s="121">
        <v>1</v>
      </c>
    </row>
    <row r="10" spans="1:12" x14ac:dyDescent="0.25">
      <c r="A10" s="93" t="s">
        <v>115</v>
      </c>
      <c r="B10" s="94">
        <f t="shared" ref="B10:I10" si="12">ROUNDDOWN(B9*$L$10,-3)</f>
        <v>30000</v>
      </c>
      <c r="C10" s="94">
        <f t="shared" si="12"/>
        <v>39000</v>
      </c>
      <c r="D10" s="94">
        <f t="shared" si="12"/>
        <v>51000</v>
      </c>
      <c r="E10" s="94">
        <f t="shared" si="12"/>
        <v>66000</v>
      </c>
      <c r="F10" s="94">
        <f t="shared" si="12"/>
        <v>86000</v>
      </c>
      <c r="G10" s="94">
        <f t="shared" si="12"/>
        <v>121000</v>
      </c>
      <c r="H10" s="94">
        <f t="shared" si="12"/>
        <v>170000</v>
      </c>
      <c r="I10" s="94">
        <f t="shared" si="12"/>
        <v>238000</v>
      </c>
      <c r="J10" s="94">
        <f t="shared" ref="J10:K10" si="13">ROUNDDOWN(J9*$L$10,-3)</f>
        <v>333000</v>
      </c>
      <c r="K10" s="94">
        <f t="shared" si="13"/>
        <v>467000</v>
      </c>
      <c r="L10" s="95">
        <v>0.5</v>
      </c>
    </row>
    <row r="11" spans="1:12" ht="18" customHeight="1" x14ac:dyDescent="0.25">
      <c r="A11" s="93" t="s">
        <v>26</v>
      </c>
      <c r="B11" s="94">
        <f t="shared" ref="B11:I11" si="14">ROUNDDOWN(B9*$L$11,-3)</f>
        <v>10000</v>
      </c>
      <c r="C11" s="94">
        <f t="shared" si="14"/>
        <v>13000</v>
      </c>
      <c r="D11" s="94">
        <f t="shared" si="14"/>
        <v>17000</v>
      </c>
      <c r="E11" s="94">
        <f t="shared" si="14"/>
        <v>22000</v>
      </c>
      <c r="F11" s="94">
        <f t="shared" si="14"/>
        <v>29000</v>
      </c>
      <c r="G11" s="94">
        <f t="shared" si="14"/>
        <v>41000</v>
      </c>
      <c r="H11" s="94">
        <f t="shared" si="14"/>
        <v>57000</v>
      </c>
      <c r="I11" s="94">
        <f t="shared" si="14"/>
        <v>80000</v>
      </c>
      <c r="J11" s="94">
        <f t="shared" ref="J11:K11" si="15">ROUNDDOWN(J9*$L$11,-3)</f>
        <v>113000</v>
      </c>
      <c r="K11" s="94">
        <f t="shared" si="15"/>
        <v>158000</v>
      </c>
      <c r="L11" s="95">
        <v>0.17</v>
      </c>
    </row>
    <row r="12" spans="1:12" ht="18" customHeight="1" x14ac:dyDescent="0.25">
      <c r="A12" s="93" t="s">
        <v>130</v>
      </c>
      <c r="B12" s="464">
        <f t="shared" ref="B12:I12" si="16">ROUNDDOWN(B9*$L$12,-3)</f>
        <v>21000</v>
      </c>
      <c r="C12" s="464">
        <f t="shared" si="16"/>
        <v>27000</v>
      </c>
      <c r="D12" s="464">
        <f t="shared" si="16"/>
        <v>35000</v>
      </c>
      <c r="E12" s="464">
        <f t="shared" si="16"/>
        <v>46000</v>
      </c>
      <c r="F12" s="464">
        <f t="shared" si="16"/>
        <v>60000</v>
      </c>
      <c r="G12" s="464">
        <f t="shared" si="16"/>
        <v>85000</v>
      </c>
      <c r="H12" s="464">
        <f t="shared" si="16"/>
        <v>119000</v>
      </c>
      <c r="I12" s="464">
        <f t="shared" si="16"/>
        <v>166000</v>
      </c>
      <c r="J12" s="464">
        <f t="shared" ref="J12:K12" si="17">ROUNDDOWN(J9*$L$12,-3)</f>
        <v>233000</v>
      </c>
      <c r="K12" s="464">
        <f t="shared" si="17"/>
        <v>326000</v>
      </c>
      <c r="L12" s="461">
        <v>0.35</v>
      </c>
    </row>
    <row r="13" spans="1:12" ht="18" customHeight="1" x14ac:dyDescent="0.25">
      <c r="A13" s="93" t="s">
        <v>306</v>
      </c>
      <c r="B13" s="464">
        <f t="shared" ref="B13:I13" si="18">ROUNDDOWN(B9*$L$13,-3)</f>
        <v>24000</v>
      </c>
      <c r="C13" s="464">
        <f t="shared" si="18"/>
        <v>31000</v>
      </c>
      <c r="D13" s="464">
        <f t="shared" si="18"/>
        <v>40000</v>
      </c>
      <c r="E13" s="464">
        <f t="shared" si="18"/>
        <v>53000</v>
      </c>
      <c r="F13" s="464">
        <f t="shared" si="18"/>
        <v>69000</v>
      </c>
      <c r="G13" s="464">
        <f t="shared" si="18"/>
        <v>97000</v>
      </c>
      <c r="H13" s="464">
        <f t="shared" si="18"/>
        <v>136000</v>
      </c>
      <c r="I13" s="464">
        <f t="shared" si="18"/>
        <v>190000</v>
      </c>
      <c r="J13" s="464">
        <f t="shared" ref="J13:K13" si="19">ROUNDDOWN(J9*$L$13,-3)</f>
        <v>266000</v>
      </c>
      <c r="K13" s="464">
        <f t="shared" si="19"/>
        <v>373000</v>
      </c>
      <c r="L13" s="461">
        <v>0.4</v>
      </c>
    </row>
    <row r="14" spans="1:12" s="87" customFormat="1" ht="21.75" customHeight="1" x14ac:dyDescent="0.25">
      <c r="A14" s="117" t="s">
        <v>138</v>
      </c>
      <c r="B14" s="118">
        <f t="shared" ref="B14:I14" si="20">SUM(B7:B13)</f>
        <v>172000</v>
      </c>
      <c r="C14" s="118">
        <f t="shared" si="20"/>
        <v>224000</v>
      </c>
      <c r="D14" s="118">
        <f t="shared" si="20"/>
        <v>291000</v>
      </c>
      <c r="E14" s="118">
        <f t="shared" si="20"/>
        <v>380000</v>
      </c>
      <c r="F14" s="118">
        <f t="shared" si="20"/>
        <v>495000</v>
      </c>
      <c r="G14" s="118">
        <f t="shared" si="20"/>
        <v>698000</v>
      </c>
      <c r="H14" s="118">
        <f t="shared" si="20"/>
        <v>978000</v>
      </c>
      <c r="I14" s="118">
        <f t="shared" si="20"/>
        <v>1368000</v>
      </c>
      <c r="J14" s="118">
        <f t="shared" ref="J14:K14" si="21">SUM(J7:J13)</f>
        <v>1918000</v>
      </c>
      <c r="K14" s="118">
        <f t="shared" si="21"/>
        <v>2686000</v>
      </c>
      <c r="L14" s="119"/>
    </row>
    <row r="15" spans="1:12" x14ac:dyDescent="0.25">
      <c r="L15" s="86"/>
    </row>
    <row r="16" spans="1:12" x14ac:dyDescent="0.25">
      <c r="A16" s="87" t="s">
        <v>140</v>
      </c>
      <c r="B16" s="85" t="s">
        <v>402</v>
      </c>
      <c r="L16" s="86"/>
    </row>
    <row r="17" spans="1:12" x14ac:dyDescent="0.25">
      <c r="A17" s="564" t="s">
        <v>133</v>
      </c>
      <c r="B17" s="75" t="s">
        <v>1</v>
      </c>
      <c r="C17" s="75" t="s">
        <v>2</v>
      </c>
      <c r="D17" s="75" t="s">
        <v>3</v>
      </c>
      <c r="E17" s="75" t="s">
        <v>4</v>
      </c>
      <c r="F17" s="542" t="s">
        <v>5</v>
      </c>
      <c r="G17" s="537" t="s">
        <v>125</v>
      </c>
      <c r="H17" s="537" t="s">
        <v>126</v>
      </c>
      <c r="I17" s="537" t="s">
        <v>127</v>
      </c>
      <c r="J17" s="537" t="s">
        <v>146</v>
      </c>
      <c r="K17" s="537" t="s">
        <v>147</v>
      </c>
      <c r="L17" s="566" t="s">
        <v>134</v>
      </c>
    </row>
    <row r="18" spans="1:12" x14ac:dyDescent="0.25">
      <c r="A18" s="565"/>
      <c r="B18" s="359">
        <f>0.064</f>
        <v>6.4000000000000001E-2</v>
      </c>
      <c r="C18" s="359">
        <f>B18*1.3</f>
        <v>8.320000000000001E-2</v>
      </c>
      <c r="D18" s="359">
        <f t="shared" ref="D18:F18" si="22">C18*1.3</f>
        <v>0.10816000000000002</v>
      </c>
      <c r="E18" s="359">
        <f t="shared" si="22"/>
        <v>0.14060800000000004</v>
      </c>
      <c r="F18" s="359">
        <f t="shared" si="22"/>
        <v>0.18279040000000005</v>
      </c>
      <c r="G18" s="359">
        <f t="shared" ref="G18" si="23">F18*1.4</f>
        <v>0.25590656000000006</v>
      </c>
      <c r="H18" s="359">
        <f t="shared" ref="H18" si="24">G18*1.4</f>
        <v>0.35826918400000007</v>
      </c>
      <c r="I18" s="359">
        <f t="shared" ref="I18" si="25">H18*1.4</f>
        <v>0.50157685760000004</v>
      </c>
      <c r="J18" s="359">
        <f t="shared" ref="J18" si="26">I18*1.4</f>
        <v>0.70220760063999998</v>
      </c>
      <c r="K18" s="359">
        <f t="shared" ref="K18" si="27">J18*1.4</f>
        <v>0.98309064089599996</v>
      </c>
      <c r="L18" s="566"/>
    </row>
    <row r="19" spans="1:12" x14ac:dyDescent="0.25">
      <c r="A19" s="93" t="s">
        <v>9</v>
      </c>
      <c r="B19" s="94">
        <f t="shared" ref="B19:I19" si="28">ROUNDDOWN(B21*$L$19,-3)</f>
        <v>2000</v>
      </c>
      <c r="C19" s="94">
        <f t="shared" si="28"/>
        <v>3000</v>
      </c>
      <c r="D19" s="94">
        <f t="shared" si="28"/>
        <v>4000</v>
      </c>
      <c r="E19" s="94">
        <f t="shared" si="28"/>
        <v>5000</v>
      </c>
      <c r="F19" s="94">
        <f t="shared" si="28"/>
        <v>6000</v>
      </c>
      <c r="G19" s="94">
        <f t="shared" si="28"/>
        <v>9000</v>
      </c>
      <c r="H19" s="94">
        <f t="shared" si="28"/>
        <v>13000</v>
      </c>
      <c r="I19" s="94">
        <f t="shared" si="28"/>
        <v>19000</v>
      </c>
      <c r="J19" s="94">
        <f t="shared" ref="J19:K19" si="29">ROUNDDOWN(J21*$L$19,-3)</f>
        <v>26000</v>
      </c>
      <c r="K19" s="94">
        <f t="shared" si="29"/>
        <v>37000</v>
      </c>
      <c r="L19" s="95">
        <f>25%-(25%*35%)</f>
        <v>0.16250000000000001</v>
      </c>
    </row>
    <row r="20" spans="1:12" x14ac:dyDescent="0.25">
      <c r="A20" s="93" t="s">
        <v>16</v>
      </c>
      <c r="B20" s="94">
        <f t="shared" ref="B20:I20" si="30">ROUNDDOWN(B21*$L$20,-3)</f>
        <v>2000</v>
      </c>
      <c r="C20" s="94">
        <f t="shared" si="30"/>
        <v>3000</v>
      </c>
      <c r="D20" s="94">
        <f t="shared" si="30"/>
        <v>4000</v>
      </c>
      <c r="E20" s="94">
        <f t="shared" si="30"/>
        <v>5000</v>
      </c>
      <c r="F20" s="94">
        <f t="shared" si="30"/>
        <v>6000</v>
      </c>
      <c r="G20" s="94">
        <f t="shared" si="30"/>
        <v>9000</v>
      </c>
      <c r="H20" s="94">
        <f t="shared" si="30"/>
        <v>13000</v>
      </c>
      <c r="I20" s="94">
        <f t="shared" si="30"/>
        <v>19000</v>
      </c>
      <c r="J20" s="94">
        <f t="shared" ref="J20:K20" si="31">ROUNDDOWN(J21*$L$20,-3)</f>
        <v>26000</v>
      </c>
      <c r="K20" s="94">
        <f t="shared" si="31"/>
        <v>37000</v>
      </c>
      <c r="L20" s="95">
        <f>25%-(25%*35%)</f>
        <v>0.16250000000000001</v>
      </c>
    </row>
    <row r="21" spans="1:12" x14ac:dyDescent="0.25">
      <c r="A21" s="120" t="s">
        <v>128</v>
      </c>
      <c r="B21" s="358">
        <f t="shared" ref="B21:H21" si="32">ROUNDDOWN(B18*$J$4,-3)</f>
        <v>14000</v>
      </c>
      <c r="C21" s="358">
        <f t="shared" si="32"/>
        <v>19000</v>
      </c>
      <c r="D21" s="358">
        <f t="shared" si="32"/>
        <v>25000</v>
      </c>
      <c r="E21" s="358">
        <f t="shared" si="32"/>
        <v>32000</v>
      </c>
      <c r="F21" s="358">
        <f t="shared" si="32"/>
        <v>42000</v>
      </c>
      <c r="G21" s="358">
        <f t="shared" si="32"/>
        <v>59000</v>
      </c>
      <c r="H21" s="358">
        <f t="shared" si="32"/>
        <v>83000</v>
      </c>
      <c r="I21" s="358">
        <f t="shared" ref="I21:K21" si="33">ROUNDDOWN(I18*$J$4,-3)</f>
        <v>117000</v>
      </c>
      <c r="J21" s="358">
        <f t="shared" si="33"/>
        <v>164000</v>
      </c>
      <c r="K21" s="358">
        <f t="shared" si="33"/>
        <v>230000</v>
      </c>
      <c r="L21" s="121">
        <v>1</v>
      </c>
    </row>
    <row r="22" spans="1:12" x14ac:dyDescent="0.25">
      <c r="A22" s="93" t="s">
        <v>115</v>
      </c>
      <c r="B22" s="94">
        <f t="shared" ref="B22:I22" si="34">ROUNDDOWN(B21*$L$10,-3)</f>
        <v>7000</v>
      </c>
      <c r="C22" s="94">
        <f t="shared" si="34"/>
        <v>9000</v>
      </c>
      <c r="D22" s="94">
        <f t="shared" si="34"/>
        <v>12000</v>
      </c>
      <c r="E22" s="94">
        <f t="shared" si="34"/>
        <v>16000</v>
      </c>
      <c r="F22" s="94">
        <f t="shared" si="34"/>
        <v>21000</v>
      </c>
      <c r="G22" s="94">
        <f t="shared" si="34"/>
        <v>29000</v>
      </c>
      <c r="H22" s="94">
        <f t="shared" si="34"/>
        <v>41000</v>
      </c>
      <c r="I22" s="94">
        <f t="shared" si="34"/>
        <v>58000</v>
      </c>
      <c r="J22" s="94">
        <f t="shared" ref="J22:K22" si="35">ROUNDDOWN(J21*$L$10,-3)</f>
        <v>82000</v>
      </c>
      <c r="K22" s="94">
        <f t="shared" si="35"/>
        <v>115000</v>
      </c>
      <c r="L22" s="95">
        <v>0.5</v>
      </c>
    </row>
    <row r="23" spans="1:12" x14ac:dyDescent="0.25">
      <c r="A23" s="93" t="s">
        <v>26</v>
      </c>
      <c r="B23" s="94">
        <f t="shared" ref="B23:I23" si="36">ROUNDDOWN(B21*$L$23,-3)</f>
        <v>3000</v>
      </c>
      <c r="C23" s="94">
        <f t="shared" si="36"/>
        <v>4000</v>
      </c>
      <c r="D23" s="94">
        <f t="shared" si="36"/>
        <v>6000</v>
      </c>
      <c r="E23" s="94">
        <f t="shared" si="36"/>
        <v>8000</v>
      </c>
      <c r="F23" s="94">
        <f t="shared" si="36"/>
        <v>10000</v>
      </c>
      <c r="G23" s="94">
        <f t="shared" si="36"/>
        <v>14000</v>
      </c>
      <c r="H23" s="94">
        <f t="shared" si="36"/>
        <v>20000</v>
      </c>
      <c r="I23" s="94">
        <f t="shared" si="36"/>
        <v>29000</v>
      </c>
      <c r="J23" s="94">
        <f t="shared" ref="J23:K23" si="37">ROUNDDOWN(J21*$L$23,-3)</f>
        <v>41000</v>
      </c>
      <c r="K23" s="94">
        <f t="shared" si="37"/>
        <v>57000</v>
      </c>
      <c r="L23" s="95">
        <v>0.25</v>
      </c>
    </row>
    <row r="24" spans="1:12" x14ac:dyDescent="0.25">
      <c r="A24" s="93" t="s">
        <v>130</v>
      </c>
      <c r="B24" s="464">
        <f t="shared" ref="B24:I24" si="38">ROUNDDOWN(B21*$L$12,-3)</f>
        <v>4000</v>
      </c>
      <c r="C24" s="464">
        <f t="shared" si="38"/>
        <v>6000</v>
      </c>
      <c r="D24" s="464">
        <f t="shared" si="38"/>
        <v>8000</v>
      </c>
      <c r="E24" s="464">
        <f t="shared" si="38"/>
        <v>11000</v>
      </c>
      <c r="F24" s="464">
        <f t="shared" si="38"/>
        <v>14000</v>
      </c>
      <c r="G24" s="464">
        <f t="shared" si="38"/>
        <v>20000</v>
      </c>
      <c r="H24" s="464">
        <f t="shared" si="38"/>
        <v>29000</v>
      </c>
      <c r="I24" s="464">
        <f t="shared" si="38"/>
        <v>40000</v>
      </c>
      <c r="J24" s="464">
        <f t="shared" ref="J24:K24" si="39">ROUNDDOWN(J21*$L$12,-3)</f>
        <v>57000</v>
      </c>
      <c r="K24" s="464">
        <f t="shared" si="39"/>
        <v>80000</v>
      </c>
      <c r="L24" s="461">
        <v>0.35</v>
      </c>
    </row>
    <row r="25" spans="1:12" x14ac:dyDescent="0.25">
      <c r="A25" s="93" t="s">
        <v>306</v>
      </c>
      <c r="B25" s="464">
        <f t="shared" ref="B25:I25" si="40">ROUNDDOWN(B21*$L$13,-3)</f>
        <v>5000</v>
      </c>
      <c r="C25" s="464">
        <f t="shared" si="40"/>
        <v>7000</v>
      </c>
      <c r="D25" s="464">
        <f t="shared" si="40"/>
        <v>10000</v>
      </c>
      <c r="E25" s="464">
        <f t="shared" si="40"/>
        <v>12000</v>
      </c>
      <c r="F25" s="464">
        <f t="shared" si="40"/>
        <v>16000</v>
      </c>
      <c r="G25" s="464">
        <f t="shared" si="40"/>
        <v>23000</v>
      </c>
      <c r="H25" s="464">
        <f t="shared" si="40"/>
        <v>33000</v>
      </c>
      <c r="I25" s="464">
        <f t="shared" si="40"/>
        <v>46000</v>
      </c>
      <c r="J25" s="464">
        <f t="shared" ref="J25:K25" si="41">ROUNDDOWN(J21*$L$13,-3)</f>
        <v>65000</v>
      </c>
      <c r="K25" s="464">
        <f t="shared" si="41"/>
        <v>92000</v>
      </c>
      <c r="L25" s="461">
        <v>0.4</v>
      </c>
    </row>
    <row r="26" spans="1:12" x14ac:dyDescent="0.25">
      <c r="A26" s="117" t="s">
        <v>138</v>
      </c>
      <c r="B26" s="118">
        <f t="shared" ref="B26:I26" si="42">SUM(B19:B25)</f>
        <v>37000</v>
      </c>
      <c r="C26" s="118">
        <f t="shared" si="42"/>
        <v>51000</v>
      </c>
      <c r="D26" s="118">
        <f t="shared" si="42"/>
        <v>69000</v>
      </c>
      <c r="E26" s="118">
        <f t="shared" si="42"/>
        <v>89000</v>
      </c>
      <c r="F26" s="118">
        <f t="shared" si="42"/>
        <v>115000</v>
      </c>
      <c r="G26" s="118">
        <f t="shared" si="42"/>
        <v>163000</v>
      </c>
      <c r="H26" s="118">
        <f t="shared" si="42"/>
        <v>232000</v>
      </c>
      <c r="I26" s="118">
        <f t="shared" si="42"/>
        <v>328000</v>
      </c>
      <c r="J26" s="118">
        <f t="shared" ref="J26:K26" si="43">SUM(J19:J25)</f>
        <v>461000</v>
      </c>
      <c r="K26" s="118">
        <f t="shared" si="43"/>
        <v>648000</v>
      </c>
    </row>
  </sheetData>
  <mergeCells count="5">
    <mergeCell ref="H4:I4"/>
    <mergeCell ref="A5:A6"/>
    <mergeCell ref="L5:L6"/>
    <mergeCell ref="A17:A18"/>
    <mergeCell ref="L17:L18"/>
  </mergeCells>
  <phoneticPr fontId="51" type="noConversion"/>
  <pageMargins left="0.31496062992125984" right="0.11811023622047245" top="0.55118110236220474" bottom="0.55118110236220474"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workbookViewId="0">
      <selection activeCell="L10" sqref="L10"/>
    </sheetView>
  </sheetViews>
  <sheetFormatPr defaultColWidth="8.85546875" defaultRowHeight="15" x14ac:dyDescent="0.25"/>
  <cols>
    <col min="1" max="1" width="36.42578125" bestFit="1" customWidth="1"/>
    <col min="2" max="4" width="10.140625" bestFit="1" customWidth="1"/>
    <col min="5" max="10" width="11.28515625" bestFit="1" customWidth="1"/>
    <col min="13" max="13" width="9.85546875" bestFit="1" customWidth="1"/>
  </cols>
  <sheetData>
    <row r="1" spans="1:15" ht="15.75" x14ac:dyDescent="0.25">
      <c r="A1" s="145"/>
      <c r="B1" s="81"/>
      <c r="C1" s="81"/>
      <c r="D1" s="81"/>
      <c r="E1" s="81"/>
      <c r="F1" s="123"/>
      <c r="G1" s="81"/>
      <c r="H1" s="81"/>
      <c r="I1" s="81"/>
      <c r="J1" s="81"/>
      <c r="K1" s="81" t="s">
        <v>179</v>
      </c>
      <c r="L1" s="81"/>
      <c r="M1" s="124">
        <v>234000</v>
      </c>
      <c r="N1" s="81" t="s">
        <v>135</v>
      </c>
      <c r="O1" s="124"/>
    </row>
    <row r="2" spans="1:15" ht="15.75" x14ac:dyDescent="0.25">
      <c r="A2" s="145"/>
      <c r="B2" s="81"/>
      <c r="C2" s="81"/>
      <c r="D2" s="81"/>
      <c r="E2" s="81"/>
      <c r="F2" s="123"/>
      <c r="G2" s="81"/>
      <c r="H2" s="81"/>
      <c r="I2" s="81"/>
      <c r="J2" s="81"/>
      <c r="K2" s="81" t="s">
        <v>144</v>
      </c>
      <c r="L2" s="81"/>
      <c r="M2" s="124"/>
      <c r="N2" s="124"/>
      <c r="O2" s="124"/>
    </row>
    <row r="3" spans="1:15" ht="15.75" x14ac:dyDescent="0.25">
      <c r="A3" s="81"/>
      <c r="B3" s="81"/>
      <c r="C3" s="81"/>
      <c r="D3" s="81"/>
      <c r="E3" s="81"/>
      <c r="F3" s="81"/>
      <c r="G3" s="81"/>
      <c r="H3" s="81"/>
      <c r="I3" s="81"/>
      <c r="J3" s="81"/>
      <c r="K3" s="81"/>
      <c r="L3" s="123"/>
      <c r="M3" s="81"/>
      <c r="N3" s="123"/>
      <c r="O3" s="124"/>
    </row>
    <row r="4" spans="1:15" ht="15.75" customHeight="1" x14ac:dyDescent="0.25">
      <c r="A4" s="572" t="s">
        <v>0</v>
      </c>
      <c r="B4" s="83" t="s">
        <v>1</v>
      </c>
      <c r="C4" s="83" t="s">
        <v>2</v>
      </c>
      <c r="D4" s="83" t="s">
        <v>3</v>
      </c>
      <c r="E4" s="83" t="s">
        <v>4</v>
      </c>
      <c r="F4" s="83" t="s">
        <v>5</v>
      </c>
      <c r="G4" s="83" t="s">
        <v>125</v>
      </c>
      <c r="H4" s="83" t="s">
        <v>126</v>
      </c>
      <c r="I4" s="83" t="s">
        <v>127</v>
      </c>
      <c r="J4" s="83" t="s">
        <v>146</v>
      </c>
      <c r="K4" s="568" t="s">
        <v>6</v>
      </c>
      <c r="L4" s="158"/>
      <c r="M4" s="81"/>
      <c r="N4" s="158"/>
      <c r="O4" s="124"/>
    </row>
    <row r="5" spans="1:15" ht="15.75" x14ac:dyDescent="0.25">
      <c r="A5" s="573"/>
      <c r="B5" s="128">
        <v>3.2</v>
      </c>
      <c r="C5" s="169">
        <f>B5*1.3</f>
        <v>4.16</v>
      </c>
      <c r="D5" s="169">
        <f t="shared" ref="D5:J5" si="0">C5*1.3</f>
        <v>5.4080000000000004</v>
      </c>
      <c r="E5" s="169">
        <f t="shared" si="0"/>
        <v>7.0304000000000011</v>
      </c>
      <c r="F5" s="169">
        <f t="shared" si="0"/>
        <v>9.139520000000001</v>
      </c>
      <c r="G5" s="169">
        <f t="shared" si="0"/>
        <v>11.881376000000001</v>
      </c>
      <c r="H5" s="169">
        <f t="shared" si="0"/>
        <v>15.445788800000003</v>
      </c>
      <c r="I5" s="169">
        <f t="shared" si="0"/>
        <v>20.079525440000005</v>
      </c>
      <c r="J5" s="169">
        <f t="shared" si="0"/>
        <v>26.103383072000007</v>
      </c>
      <c r="K5" s="569"/>
      <c r="L5" s="166"/>
      <c r="M5" s="81"/>
      <c r="N5" s="158"/>
      <c r="O5" s="146"/>
    </row>
    <row r="6" spans="1:15" ht="15.75" x14ac:dyDescent="0.25">
      <c r="A6" s="364" t="s">
        <v>369</v>
      </c>
      <c r="B6" s="362"/>
      <c r="C6" s="362"/>
      <c r="D6" s="362"/>
      <c r="E6" s="362"/>
      <c r="F6" s="362"/>
      <c r="G6" s="362"/>
      <c r="H6" s="362"/>
      <c r="I6" s="362"/>
      <c r="J6" s="362"/>
      <c r="K6" s="362"/>
      <c r="L6" s="360"/>
      <c r="M6" s="81"/>
      <c r="N6" s="80"/>
      <c r="O6" s="80"/>
    </row>
    <row r="7" spans="1:15" ht="15.75" x14ac:dyDescent="0.25">
      <c r="A7" s="364" t="s">
        <v>368</v>
      </c>
      <c r="B7" s="362"/>
      <c r="C7" s="362"/>
      <c r="D7" s="362"/>
      <c r="E7" s="362"/>
      <c r="F7" s="362"/>
      <c r="G7" s="362"/>
      <c r="H7" s="362"/>
      <c r="I7" s="362"/>
      <c r="J7" s="362"/>
      <c r="K7" s="362"/>
      <c r="L7" s="360"/>
      <c r="M7" s="81"/>
      <c r="N7" s="80"/>
      <c r="O7" s="80"/>
    </row>
    <row r="8" spans="1:15" ht="15.75" x14ac:dyDescent="0.25">
      <c r="A8" s="364" t="s">
        <v>370</v>
      </c>
      <c r="B8" s="362"/>
      <c r="C8" s="362"/>
      <c r="D8" s="362"/>
      <c r="E8" s="362"/>
      <c r="F8" s="362"/>
      <c r="G8" s="362"/>
      <c r="H8" s="362"/>
      <c r="I8" s="362"/>
      <c r="J8" s="362"/>
      <c r="K8" s="362"/>
      <c r="L8" s="360"/>
      <c r="M8" s="81"/>
      <c r="N8" s="80"/>
      <c r="O8" s="80"/>
    </row>
    <row r="9" spans="1:15" ht="15.75" x14ac:dyDescent="0.25">
      <c r="A9" s="364" t="s">
        <v>343</v>
      </c>
      <c r="B9" s="362"/>
      <c r="C9" s="362"/>
      <c r="D9" s="362"/>
      <c r="E9" s="362"/>
      <c r="F9" s="362"/>
      <c r="G9" s="362"/>
      <c r="H9" s="362"/>
      <c r="I9" s="362"/>
      <c r="J9" s="362"/>
      <c r="K9" s="362"/>
      <c r="L9" s="360"/>
      <c r="M9" s="81"/>
      <c r="N9" s="80"/>
      <c r="O9" s="80"/>
    </row>
    <row r="10" spans="1:15" ht="15.75" x14ac:dyDescent="0.25">
      <c r="A10" s="365" t="s">
        <v>362</v>
      </c>
      <c r="B10" s="362"/>
      <c r="C10" s="362"/>
      <c r="D10" s="362"/>
      <c r="E10" s="362"/>
      <c r="F10" s="362"/>
      <c r="G10" s="362"/>
      <c r="H10" s="362"/>
      <c r="I10" s="362"/>
      <c r="J10" s="362"/>
      <c r="K10" s="362"/>
      <c r="L10" s="361"/>
      <c r="M10" s="125"/>
      <c r="N10" s="149"/>
      <c r="O10" s="149"/>
    </row>
    <row r="11" spans="1:15" ht="15.75" x14ac:dyDescent="0.25">
      <c r="A11" s="364" t="s">
        <v>371</v>
      </c>
      <c r="B11" s="362"/>
      <c r="C11" s="362"/>
      <c r="D11" s="362"/>
      <c r="E11" s="362"/>
      <c r="F11" s="362"/>
      <c r="G11" s="362"/>
      <c r="H11" s="362"/>
      <c r="I11" s="362"/>
      <c r="J11" s="362"/>
      <c r="K11" s="362"/>
      <c r="L11" s="361"/>
      <c r="M11" s="125"/>
      <c r="N11" s="149"/>
      <c r="O11" s="149"/>
    </row>
    <row r="12" spans="1:15" ht="15.75" x14ac:dyDescent="0.25">
      <c r="A12" s="365" t="s">
        <v>360</v>
      </c>
      <c r="B12" s="362"/>
      <c r="C12" s="362"/>
      <c r="D12" s="362"/>
      <c r="E12" s="362"/>
      <c r="F12" s="362"/>
      <c r="G12" s="362"/>
      <c r="H12" s="362"/>
      <c r="I12" s="362"/>
      <c r="J12" s="362"/>
      <c r="K12" s="362"/>
      <c r="L12" s="361"/>
      <c r="M12" s="125"/>
      <c r="N12" s="149"/>
      <c r="O12" s="149"/>
    </row>
    <row r="13" spans="1:15" ht="15.75" x14ac:dyDescent="0.25">
      <c r="A13" s="366" t="s">
        <v>372</v>
      </c>
      <c r="B13" s="362"/>
      <c r="C13" s="362"/>
      <c r="D13" s="362"/>
      <c r="E13" s="362"/>
      <c r="F13" s="362"/>
      <c r="G13" s="362"/>
      <c r="H13" s="362"/>
      <c r="I13" s="362"/>
      <c r="J13" s="362"/>
      <c r="K13" s="362"/>
      <c r="L13" s="361"/>
      <c r="M13" s="125"/>
      <c r="N13" s="149"/>
      <c r="O13" s="149"/>
    </row>
    <row r="14" spans="1:15" ht="15.75" x14ac:dyDescent="0.25">
      <c r="A14" s="366" t="s">
        <v>361</v>
      </c>
      <c r="B14" s="362"/>
      <c r="C14" s="362"/>
      <c r="D14" s="362"/>
      <c r="E14" s="362"/>
      <c r="F14" s="362"/>
      <c r="G14" s="362"/>
      <c r="H14" s="362"/>
      <c r="I14" s="362"/>
      <c r="J14" s="362"/>
      <c r="K14" s="362"/>
      <c r="L14" s="361"/>
      <c r="M14" s="125"/>
      <c r="N14" s="149"/>
      <c r="O14" s="149"/>
    </row>
    <row r="15" spans="1:15" ht="15.75" x14ac:dyDescent="0.25">
      <c r="A15" s="366" t="s">
        <v>363</v>
      </c>
      <c r="B15" s="362"/>
      <c r="C15" s="362"/>
      <c r="D15" s="362"/>
      <c r="E15" s="362"/>
      <c r="F15" s="362"/>
      <c r="G15" s="362"/>
      <c r="H15" s="362"/>
      <c r="I15" s="362"/>
      <c r="J15" s="362"/>
      <c r="K15" s="362"/>
      <c r="L15" s="361"/>
      <c r="M15" s="125"/>
      <c r="N15" s="149"/>
      <c r="O15" s="149"/>
    </row>
    <row r="16" spans="1:15" ht="15.75" x14ac:dyDescent="0.25">
      <c r="A16" s="366" t="s">
        <v>364</v>
      </c>
      <c r="B16" s="362"/>
      <c r="C16" s="362"/>
      <c r="D16" s="362"/>
      <c r="E16" s="362"/>
      <c r="F16" s="362"/>
      <c r="G16" s="362"/>
      <c r="H16" s="362"/>
      <c r="I16" s="362"/>
      <c r="J16" s="362"/>
      <c r="K16" s="362"/>
      <c r="L16" s="361"/>
      <c r="M16" s="125"/>
      <c r="N16" s="149"/>
      <c r="O16" s="149"/>
    </row>
    <row r="17" spans="1:15" ht="15.75" x14ac:dyDescent="0.25">
      <c r="A17" s="364" t="s">
        <v>344</v>
      </c>
      <c r="B17" s="362"/>
      <c r="C17" s="362"/>
      <c r="D17" s="362"/>
      <c r="E17" s="362"/>
      <c r="F17" s="362"/>
      <c r="G17" s="362"/>
      <c r="H17" s="362"/>
      <c r="I17" s="362"/>
      <c r="J17" s="362"/>
      <c r="K17" s="362"/>
      <c r="L17" s="360"/>
      <c r="M17" s="81"/>
      <c r="N17" s="80"/>
      <c r="O17" s="80"/>
    </row>
    <row r="18" spans="1:15" ht="15.75" x14ac:dyDescent="0.25">
      <c r="A18" s="365" t="s">
        <v>365</v>
      </c>
      <c r="B18" s="362"/>
      <c r="C18" s="362"/>
      <c r="D18" s="362"/>
      <c r="E18" s="362"/>
      <c r="F18" s="362"/>
      <c r="G18" s="362"/>
      <c r="H18" s="362"/>
      <c r="I18" s="362"/>
      <c r="J18" s="362"/>
      <c r="K18" s="362"/>
      <c r="L18" s="360"/>
      <c r="M18" s="81"/>
      <c r="N18" s="80"/>
      <c r="O18" s="80"/>
    </row>
    <row r="19" spans="1:15" ht="15.75" x14ac:dyDescent="0.25">
      <c r="A19" s="364" t="s">
        <v>336</v>
      </c>
      <c r="B19" s="7"/>
      <c r="C19" s="7"/>
      <c r="D19" s="7"/>
      <c r="E19" s="7"/>
      <c r="F19" s="7"/>
      <c r="G19" s="7"/>
      <c r="H19" s="7"/>
      <c r="I19" s="7"/>
      <c r="J19" s="7"/>
      <c r="K19" s="7"/>
      <c r="L19" s="158"/>
      <c r="M19" s="81"/>
      <c r="N19" s="81"/>
      <c r="O19" s="81"/>
    </row>
    <row r="20" spans="1:15" x14ac:dyDescent="0.25">
      <c r="A20" s="364" t="s">
        <v>345</v>
      </c>
      <c r="B20" s="363"/>
      <c r="C20" s="363"/>
      <c r="D20" s="363"/>
      <c r="E20" s="363"/>
      <c r="F20" s="363"/>
      <c r="G20" s="363"/>
      <c r="H20" s="363"/>
      <c r="I20" s="363"/>
      <c r="J20" s="363"/>
      <c r="K20" s="363"/>
    </row>
    <row r="21" spans="1:15" x14ac:dyDescent="0.25">
      <c r="A21" s="364" t="s">
        <v>205</v>
      </c>
      <c r="B21" s="363"/>
      <c r="C21" s="363"/>
      <c r="D21" s="363"/>
      <c r="E21" s="363"/>
      <c r="F21" s="363"/>
      <c r="G21" s="363"/>
      <c r="H21" s="363"/>
      <c r="I21" s="363"/>
      <c r="J21" s="363"/>
      <c r="K21" s="363"/>
    </row>
    <row r="22" spans="1:15" x14ac:dyDescent="0.25">
      <c r="A22" s="364" t="s">
        <v>373</v>
      </c>
      <c r="B22" s="363"/>
      <c r="C22" s="363"/>
      <c r="D22" s="363"/>
      <c r="E22" s="363"/>
      <c r="F22" s="363"/>
      <c r="G22" s="363"/>
      <c r="H22" s="363"/>
      <c r="I22" s="363"/>
      <c r="J22" s="363"/>
      <c r="K22" s="363"/>
    </row>
    <row r="23" spans="1:15" x14ac:dyDescent="0.25">
      <c r="A23" s="367" t="s">
        <v>208</v>
      </c>
      <c r="B23" s="363"/>
      <c r="C23" s="363"/>
      <c r="D23" s="363"/>
      <c r="E23" s="363"/>
      <c r="F23" s="363"/>
      <c r="G23" s="363"/>
      <c r="H23" s="363"/>
      <c r="I23" s="363"/>
      <c r="J23" s="363"/>
      <c r="K23" s="363"/>
    </row>
    <row r="24" spans="1:15" x14ac:dyDescent="0.25">
      <c r="A24" s="367" t="s">
        <v>339</v>
      </c>
      <c r="B24" s="363"/>
      <c r="C24" s="363"/>
      <c r="D24" s="363"/>
      <c r="E24" s="363"/>
      <c r="F24" s="363"/>
      <c r="G24" s="363"/>
      <c r="H24" s="363"/>
      <c r="I24" s="363"/>
      <c r="J24" s="363"/>
      <c r="K24" s="363"/>
    </row>
    <row r="25" spans="1:15" x14ac:dyDescent="0.25">
      <c r="A25" s="364" t="s">
        <v>374</v>
      </c>
      <c r="B25" s="363"/>
      <c r="C25" s="363"/>
      <c r="D25" s="363"/>
      <c r="E25" s="363"/>
      <c r="F25" s="363"/>
      <c r="G25" s="363"/>
      <c r="H25" s="363"/>
      <c r="I25" s="363"/>
      <c r="J25" s="363"/>
      <c r="K25" s="363"/>
    </row>
    <row r="26" spans="1:15" x14ac:dyDescent="0.25">
      <c r="A26" s="364" t="s">
        <v>337</v>
      </c>
      <c r="B26" s="363"/>
      <c r="C26" s="363"/>
      <c r="D26" s="363"/>
      <c r="E26" s="363"/>
      <c r="F26" s="363"/>
      <c r="G26" s="363"/>
      <c r="H26" s="363"/>
      <c r="I26" s="363"/>
      <c r="J26" s="363"/>
      <c r="K26" s="363"/>
    </row>
    <row r="27" spans="1:15" x14ac:dyDescent="0.25">
      <c r="A27" s="365" t="s">
        <v>366</v>
      </c>
      <c r="B27" s="363"/>
      <c r="C27" s="363"/>
      <c r="D27" s="363"/>
      <c r="E27" s="363"/>
      <c r="F27" s="363"/>
      <c r="G27" s="363"/>
      <c r="H27" s="363"/>
      <c r="I27" s="363"/>
      <c r="J27" s="363"/>
      <c r="K27" s="363"/>
    </row>
    <row r="28" spans="1:15" x14ac:dyDescent="0.25">
      <c r="A28" s="364" t="s">
        <v>346</v>
      </c>
      <c r="B28" s="363"/>
      <c r="C28" s="363"/>
      <c r="D28" s="363"/>
      <c r="E28" s="363"/>
      <c r="F28" s="363"/>
      <c r="G28" s="363"/>
      <c r="H28" s="363"/>
      <c r="I28" s="363"/>
      <c r="J28" s="363"/>
      <c r="K28" s="363"/>
    </row>
    <row r="29" spans="1:15" x14ac:dyDescent="0.25">
      <c r="A29" s="364" t="s">
        <v>347</v>
      </c>
      <c r="B29" s="363"/>
      <c r="C29" s="363"/>
      <c r="D29" s="363"/>
      <c r="E29" s="363"/>
      <c r="F29" s="363"/>
      <c r="G29" s="363"/>
      <c r="H29" s="363"/>
      <c r="I29" s="363"/>
      <c r="J29" s="363"/>
      <c r="K29" s="363"/>
    </row>
    <row r="30" spans="1:15" x14ac:dyDescent="0.25">
      <c r="A30" s="364" t="s">
        <v>348</v>
      </c>
      <c r="B30" s="363"/>
      <c r="C30" s="363"/>
      <c r="D30" s="363"/>
      <c r="E30" s="363"/>
      <c r="F30" s="363"/>
      <c r="G30" s="363"/>
      <c r="H30" s="363"/>
      <c r="I30" s="363"/>
      <c r="J30" s="363"/>
      <c r="K30" s="363"/>
    </row>
    <row r="31" spans="1:15" x14ac:dyDescent="0.25">
      <c r="A31" s="364" t="s">
        <v>349</v>
      </c>
      <c r="B31" s="363"/>
      <c r="C31" s="363"/>
      <c r="D31" s="363"/>
      <c r="E31" s="363"/>
      <c r="F31" s="363"/>
      <c r="G31" s="363"/>
      <c r="H31" s="363"/>
      <c r="I31" s="363"/>
      <c r="J31" s="363"/>
      <c r="K31" s="363"/>
    </row>
    <row r="32" spans="1:15" x14ac:dyDescent="0.25">
      <c r="A32" s="364" t="s">
        <v>350</v>
      </c>
      <c r="B32" s="363"/>
      <c r="C32" s="363"/>
      <c r="D32" s="363"/>
      <c r="E32" s="363"/>
      <c r="F32" s="363"/>
      <c r="G32" s="363"/>
      <c r="H32" s="363"/>
      <c r="I32" s="363"/>
      <c r="J32" s="363"/>
      <c r="K32" s="363"/>
    </row>
    <row r="33" spans="1:11" x14ac:dyDescent="0.25">
      <c r="A33" s="364" t="s">
        <v>351</v>
      </c>
      <c r="B33" s="363"/>
      <c r="C33" s="363"/>
      <c r="D33" s="363"/>
      <c r="E33" s="363"/>
      <c r="F33" s="363"/>
      <c r="G33" s="363"/>
      <c r="H33" s="363"/>
      <c r="I33" s="363"/>
      <c r="J33" s="363"/>
      <c r="K33" s="363"/>
    </row>
    <row r="34" spans="1:11" x14ac:dyDescent="0.25">
      <c r="A34" s="364" t="s">
        <v>375</v>
      </c>
      <c r="B34" s="363"/>
      <c r="C34" s="363"/>
      <c r="D34" s="363"/>
      <c r="E34" s="363"/>
      <c r="F34" s="363"/>
      <c r="G34" s="363"/>
      <c r="H34" s="363"/>
      <c r="I34" s="363"/>
      <c r="J34" s="363"/>
      <c r="K34" s="363"/>
    </row>
    <row r="35" spans="1:11" x14ac:dyDescent="0.25">
      <c r="A35" s="364" t="s">
        <v>376</v>
      </c>
      <c r="B35" s="363"/>
      <c r="C35" s="363"/>
      <c r="D35" s="363"/>
      <c r="E35" s="363"/>
      <c r="F35" s="363"/>
      <c r="G35" s="363"/>
      <c r="H35" s="363"/>
      <c r="I35" s="363"/>
      <c r="J35" s="363"/>
      <c r="K35" s="363"/>
    </row>
    <row r="36" spans="1:11" x14ac:dyDescent="0.25">
      <c r="A36" s="364" t="s">
        <v>352</v>
      </c>
      <c r="B36" s="363"/>
      <c r="C36" s="363"/>
      <c r="D36" s="363"/>
      <c r="E36" s="363"/>
      <c r="F36" s="363"/>
      <c r="G36" s="363"/>
      <c r="H36" s="363"/>
      <c r="I36" s="363"/>
      <c r="J36" s="363"/>
      <c r="K36" s="363"/>
    </row>
    <row r="37" spans="1:11" x14ac:dyDescent="0.25">
      <c r="A37" s="364" t="s">
        <v>353</v>
      </c>
      <c r="B37" s="363"/>
      <c r="C37" s="363"/>
      <c r="D37" s="363"/>
      <c r="E37" s="363"/>
      <c r="F37" s="363"/>
      <c r="G37" s="363"/>
      <c r="H37" s="363"/>
      <c r="I37" s="363"/>
      <c r="J37" s="363"/>
      <c r="K37" s="363"/>
    </row>
    <row r="38" spans="1:11" x14ac:dyDescent="0.25">
      <c r="A38" s="364" t="s">
        <v>354</v>
      </c>
      <c r="B38" s="363"/>
      <c r="C38" s="363"/>
      <c r="D38" s="363"/>
      <c r="E38" s="363"/>
      <c r="F38" s="363"/>
      <c r="G38" s="363"/>
      <c r="H38" s="363"/>
      <c r="I38" s="363"/>
      <c r="J38" s="363"/>
      <c r="K38" s="363"/>
    </row>
    <row r="39" spans="1:11" x14ac:dyDescent="0.25">
      <c r="A39" s="364" t="s">
        <v>355</v>
      </c>
      <c r="B39" s="363"/>
      <c r="C39" s="363"/>
      <c r="D39" s="363"/>
      <c r="E39" s="363"/>
      <c r="F39" s="363"/>
      <c r="G39" s="363"/>
      <c r="H39" s="363"/>
      <c r="I39" s="363"/>
      <c r="J39" s="363"/>
      <c r="K39" s="363"/>
    </row>
    <row r="40" spans="1:11" x14ac:dyDescent="0.25">
      <c r="A40" s="365" t="s">
        <v>367</v>
      </c>
      <c r="B40" s="363"/>
      <c r="C40" s="363"/>
      <c r="D40" s="363"/>
      <c r="E40" s="363"/>
      <c r="F40" s="363"/>
      <c r="G40" s="363"/>
      <c r="H40" s="363"/>
      <c r="I40" s="363"/>
      <c r="J40" s="363"/>
      <c r="K40" s="363"/>
    </row>
    <row r="41" spans="1:11" x14ac:dyDescent="0.25">
      <c r="A41" s="364" t="s">
        <v>356</v>
      </c>
      <c r="B41" s="363"/>
      <c r="C41" s="363"/>
      <c r="D41" s="363"/>
      <c r="E41" s="363"/>
      <c r="F41" s="363"/>
      <c r="G41" s="363"/>
      <c r="H41" s="363"/>
      <c r="I41" s="363"/>
      <c r="J41" s="363"/>
      <c r="K41" s="363"/>
    </row>
    <row r="42" spans="1:11" x14ac:dyDescent="0.25">
      <c r="A42" s="364" t="s">
        <v>357</v>
      </c>
      <c r="B42" s="363"/>
      <c r="C42" s="363"/>
      <c r="D42" s="363"/>
      <c r="E42" s="363"/>
      <c r="F42" s="363"/>
      <c r="G42" s="363"/>
      <c r="H42" s="363"/>
      <c r="I42" s="363"/>
      <c r="J42" s="363"/>
      <c r="K42" s="363"/>
    </row>
    <row r="43" spans="1:11" x14ac:dyDescent="0.25">
      <c r="A43" s="364" t="s">
        <v>358</v>
      </c>
      <c r="B43" s="363"/>
      <c r="C43" s="363"/>
      <c r="D43" s="363"/>
      <c r="E43" s="363"/>
      <c r="F43" s="363"/>
      <c r="G43" s="363"/>
      <c r="H43" s="363"/>
      <c r="I43" s="363"/>
      <c r="J43" s="363"/>
      <c r="K43" s="363"/>
    </row>
    <row r="44" spans="1:11" x14ac:dyDescent="0.25">
      <c r="A44" s="364" t="s">
        <v>359</v>
      </c>
      <c r="B44" s="363"/>
      <c r="C44" s="363"/>
      <c r="D44" s="363"/>
      <c r="E44" s="363"/>
      <c r="F44" s="363"/>
      <c r="G44" s="363"/>
      <c r="H44" s="363"/>
      <c r="I44" s="363"/>
      <c r="J44" s="363"/>
      <c r="K44" s="363"/>
    </row>
    <row r="45" spans="1:11" x14ac:dyDescent="0.25">
      <c r="A45" s="364" t="s">
        <v>338</v>
      </c>
      <c r="B45" s="363"/>
      <c r="C45" s="363"/>
      <c r="D45" s="363"/>
      <c r="E45" s="363"/>
      <c r="F45" s="363"/>
      <c r="G45" s="363"/>
      <c r="H45" s="363"/>
      <c r="I45" s="363"/>
      <c r="J45" s="363"/>
      <c r="K45" s="363"/>
    </row>
    <row r="46" spans="1:11" x14ac:dyDescent="0.25">
      <c r="A46" s="364" t="s">
        <v>340</v>
      </c>
      <c r="B46" s="363"/>
      <c r="C46" s="363"/>
      <c r="D46" s="363"/>
      <c r="E46" s="363"/>
      <c r="F46" s="363"/>
      <c r="G46" s="363"/>
      <c r="H46" s="363"/>
      <c r="I46" s="363"/>
      <c r="J46" s="363"/>
      <c r="K46" s="363"/>
    </row>
    <row r="47" spans="1:11" x14ac:dyDescent="0.25">
      <c r="A47" s="364" t="s">
        <v>341</v>
      </c>
      <c r="B47" s="363"/>
      <c r="C47" s="363"/>
      <c r="D47" s="363"/>
      <c r="E47" s="363"/>
      <c r="F47" s="363"/>
      <c r="G47" s="363"/>
      <c r="H47" s="363"/>
      <c r="I47" s="363"/>
      <c r="J47" s="363"/>
      <c r="K47" s="363"/>
    </row>
    <row r="48" spans="1:11" x14ac:dyDescent="0.25">
      <c r="A48" s="364" t="s">
        <v>342</v>
      </c>
      <c r="B48" s="363"/>
      <c r="C48" s="363"/>
      <c r="D48" s="363"/>
      <c r="E48" s="363"/>
      <c r="F48" s="363"/>
      <c r="G48" s="363"/>
      <c r="H48" s="363"/>
      <c r="I48" s="363"/>
      <c r="J48" s="363"/>
      <c r="K48" s="363"/>
    </row>
  </sheetData>
  <mergeCells count="2">
    <mergeCell ref="A4:A5"/>
    <mergeCell ref="K4:K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B1:M34"/>
  <sheetViews>
    <sheetView view="pageBreakPreview" topLeftCell="A6" zoomScaleNormal="100" zoomScaleSheetLayoutView="100" workbookViewId="0">
      <selection activeCell="F16" sqref="F16"/>
    </sheetView>
  </sheetViews>
  <sheetFormatPr defaultColWidth="9.140625" defaultRowHeight="15" x14ac:dyDescent="0.25"/>
  <cols>
    <col min="1" max="1" width="1" customWidth="1"/>
    <col min="2" max="2" width="31.140625" customWidth="1"/>
    <col min="3" max="4" width="11.42578125" customWidth="1"/>
    <col min="5" max="5" width="8" customWidth="1"/>
    <col min="6" max="6" width="12.7109375" customWidth="1"/>
    <col min="7" max="7" width="9.28515625" customWidth="1"/>
    <col min="8" max="8" width="11.42578125" customWidth="1"/>
    <col min="9" max="9" width="8.85546875" customWidth="1"/>
    <col min="10" max="10" width="11.42578125" customWidth="1"/>
    <col min="11" max="11" width="8.42578125" customWidth="1"/>
    <col min="12" max="12" width="10.85546875" hidden="1" customWidth="1"/>
    <col min="13" max="13" width="13" customWidth="1"/>
    <col min="14" max="14" width="10.42578125" customWidth="1"/>
  </cols>
  <sheetData>
    <row r="1" spans="2:13" x14ac:dyDescent="0.25">
      <c r="B1" s="11" t="s">
        <v>18</v>
      </c>
    </row>
    <row r="2" spans="2:13" s="1" customFormat="1" x14ac:dyDescent="0.25">
      <c r="B2" s="2"/>
      <c r="C2" s="2"/>
      <c r="D2" s="2" t="s">
        <v>124</v>
      </c>
      <c r="E2" s="2"/>
      <c r="F2" s="2"/>
      <c r="G2" s="2"/>
      <c r="H2" s="2"/>
      <c r="I2" s="2"/>
    </row>
    <row r="3" spans="2:13" s="1" customFormat="1" x14ac:dyDescent="0.25">
      <c r="B3" s="2"/>
      <c r="C3" s="2"/>
      <c r="F3" s="3"/>
      <c r="G3" s="3"/>
      <c r="H3" s="3"/>
      <c r="I3" s="3"/>
    </row>
    <row r="4" spans="2:13" s="1" customFormat="1" x14ac:dyDescent="0.25">
      <c r="B4" s="2"/>
      <c r="C4" s="2"/>
      <c r="F4" s="2"/>
      <c r="G4" s="2"/>
      <c r="H4" s="2"/>
      <c r="I4" s="2"/>
    </row>
    <row r="5" spans="2:13" s="1" customFormat="1" x14ac:dyDescent="0.25">
      <c r="B5" s="2"/>
      <c r="C5" s="2"/>
      <c r="D5" s="2"/>
      <c r="E5" s="2"/>
      <c r="F5" s="2"/>
      <c r="G5" s="2"/>
      <c r="H5" s="2"/>
      <c r="I5" s="2"/>
    </row>
    <row r="6" spans="2:13" s="1" customFormat="1" x14ac:dyDescent="0.25">
      <c r="B6" s="632" t="s">
        <v>0</v>
      </c>
      <c r="C6" s="4" t="s">
        <v>1</v>
      </c>
      <c r="D6" s="4" t="s">
        <v>2</v>
      </c>
      <c r="E6" s="4"/>
      <c r="F6" s="4" t="s">
        <v>3</v>
      </c>
      <c r="G6" s="4"/>
      <c r="H6" s="4" t="s">
        <v>4</v>
      </c>
      <c r="I6" s="4"/>
      <c r="J6" s="4" t="s">
        <v>5</v>
      </c>
      <c r="K6" s="4"/>
      <c r="L6" s="634" t="s">
        <v>6</v>
      </c>
    </row>
    <row r="7" spans="2:13" s="1" customFormat="1" hidden="1" x14ac:dyDescent="0.25">
      <c r="B7" s="633"/>
      <c r="C7" s="5" t="s">
        <v>21</v>
      </c>
      <c r="D7" s="5" t="s">
        <v>22</v>
      </c>
      <c r="E7" s="5"/>
      <c r="F7" s="5" t="s">
        <v>23</v>
      </c>
      <c r="G7" s="5"/>
      <c r="H7" s="5" t="s">
        <v>24</v>
      </c>
      <c r="I7" s="5"/>
      <c r="J7" s="5" t="s">
        <v>25</v>
      </c>
      <c r="K7" s="5"/>
      <c r="L7" s="634"/>
    </row>
    <row r="8" spans="2:13" s="1" customFormat="1" hidden="1" x14ac:dyDescent="0.25">
      <c r="B8" s="41"/>
      <c r="C8" s="5">
        <v>3.3</v>
      </c>
      <c r="D8" s="5">
        <v>3.9</v>
      </c>
      <c r="E8" s="5"/>
      <c r="F8" s="5">
        <v>4.5</v>
      </c>
      <c r="G8" s="5"/>
      <c r="H8" s="5">
        <v>5.0999999999999996</v>
      </c>
      <c r="I8" s="5"/>
      <c r="J8" s="5">
        <v>5.7</v>
      </c>
      <c r="K8" s="5"/>
      <c r="L8" s="10"/>
    </row>
    <row r="9" spans="2:13" s="1" customFormat="1" hidden="1" x14ac:dyDescent="0.25">
      <c r="B9" s="39"/>
      <c r="C9" s="40">
        <f>149000*C8</f>
        <v>491700</v>
      </c>
      <c r="D9" s="56">
        <f t="shared" ref="D9:J9" si="0">149000*D8</f>
        <v>581100</v>
      </c>
      <c r="E9" s="56"/>
      <c r="F9" s="57">
        <f t="shared" si="0"/>
        <v>670500</v>
      </c>
      <c r="G9" s="57"/>
      <c r="H9" s="9">
        <f t="shared" si="0"/>
        <v>759900</v>
      </c>
      <c r="I9" s="9"/>
      <c r="J9" s="9">
        <f t="shared" si="0"/>
        <v>849300</v>
      </c>
      <c r="K9" s="9"/>
      <c r="L9" s="8"/>
    </row>
    <row r="10" spans="2:13" s="1" customFormat="1" ht="21.75" customHeight="1" x14ac:dyDescent="0.25">
      <c r="B10" s="62" t="s">
        <v>106</v>
      </c>
      <c r="C10" s="58"/>
      <c r="D10" s="639" t="s">
        <v>123</v>
      </c>
      <c r="E10" s="639"/>
      <c r="F10" s="637" t="s">
        <v>121</v>
      </c>
      <c r="G10" s="638"/>
      <c r="H10" s="636" t="s">
        <v>111</v>
      </c>
      <c r="I10" s="636"/>
      <c r="J10" s="635" t="s">
        <v>105</v>
      </c>
      <c r="K10" s="635"/>
      <c r="L10" s="6"/>
    </row>
    <row r="11" spans="2:13" ht="18" customHeight="1" x14ac:dyDescent="0.25">
      <c r="B11" s="48" t="s">
        <v>7</v>
      </c>
      <c r="C11" s="49"/>
      <c r="D11" s="49">
        <v>120000</v>
      </c>
      <c r="E11" s="69">
        <f>D11/D16</f>
        <v>0.8</v>
      </c>
      <c r="F11" s="49">
        <v>217000</v>
      </c>
      <c r="G11" s="69">
        <f>F11/F16</f>
        <v>0.86799999999999999</v>
      </c>
      <c r="H11" s="49">
        <v>217000</v>
      </c>
      <c r="I11" s="69">
        <f>H11/H16</f>
        <v>0.53712871287128716</v>
      </c>
      <c r="J11" s="49">
        <v>326000</v>
      </c>
      <c r="K11" s="69">
        <f>J11/J16</f>
        <v>0.58738738738738738</v>
      </c>
      <c r="L11" s="44" t="s">
        <v>19</v>
      </c>
      <c r="M11" s="78">
        <f>D11+F11+H11+J11</f>
        <v>880000</v>
      </c>
    </row>
    <row r="12" spans="2:13" ht="18" customHeight="1" x14ac:dyDescent="0.25">
      <c r="B12" s="42" t="s">
        <v>9</v>
      </c>
      <c r="C12" s="43"/>
      <c r="D12" s="43">
        <v>120000</v>
      </c>
      <c r="E12" s="70">
        <f>D12/D16</f>
        <v>0.8</v>
      </c>
      <c r="F12" s="43">
        <v>217000</v>
      </c>
      <c r="G12" s="70">
        <f>F12/F16</f>
        <v>0.86799999999999999</v>
      </c>
      <c r="H12" s="43">
        <v>217000</v>
      </c>
      <c r="I12" s="70">
        <f>H12/H16</f>
        <v>0.53712871287128716</v>
      </c>
      <c r="J12" s="43">
        <v>326000</v>
      </c>
      <c r="K12" s="70">
        <f>J12/J16</f>
        <v>0.58738738738738738</v>
      </c>
      <c r="L12" s="44" t="s">
        <v>8</v>
      </c>
      <c r="M12" s="78">
        <f>D12+F12+H12+J12</f>
        <v>880000</v>
      </c>
    </row>
    <row r="13" spans="2:13" ht="18" hidden="1" customHeight="1" x14ac:dyDescent="0.25">
      <c r="B13" s="42" t="s">
        <v>10</v>
      </c>
      <c r="C13" s="43"/>
      <c r="D13" s="43"/>
      <c r="E13" s="70"/>
      <c r="F13" s="43"/>
      <c r="G13" s="70"/>
      <c r="H13" s="43"/>
      <c r="I13" s="70"/>
      <c r="J13" s="43"/>
      <c r="K13" s="70"/>
      <c r="L13" s="44" t="s">
        <v>8</v>
      </c>
      <c r="M13" s="78">
        <f>D13+F13+H13+J13</f>
        <v>0</v>
      </c>
    </row>
    <row r="14" spans="2:13" ht="18" customHeight="1" x14ac:dyDescent="0.25">
      <c r="B14" s="45" t="s">
        <v>98</v>
      </c>
      <c r="C14" s="43"/>
      <c r="D14" s="43">
        <v>48000</v>
      </c>
      <c r="E14" s="70">
        <f>D14/D16</f>
        <v>0.32</v>
      </c>
      <c r="F14" s="43">
        <v>86000</v>
      </c>
      <c r="G14" s="70">
        <f>F14/F16</f>
        <v>0.34399999999999997</v>
      </c>
      <c r="H14" s="43">
        <v>86000</v>
      </c>
      <c r="I14" s="70">
        <f>H14/H16</f>
        <v>0.21287128712871287</v>
      </c>
      <c r="J14" s="43">
        <v>114000</v>
      </c>
      <c r="K14" s="70">
        <f>J14/J16</f>
        <v>0.20540540540540542</v>
      </c>
      <c r="L14" s="44" t="s">
        <v>11</v>
      </c>
      <c r="M14" s="78">
        <f>D14+F14+H14+J14</f>
        <v>334000</v>
      </c>
    </row>
    <row r="15" spans="2:13" ht="18" customHeight="1" x14ac:dyDescent="0.25">
      <c r="B15" s="42" t="s">
        <v>99</v>
      </c>
      <c r="C15" s="43"/>
      <c r="D15" s="43"/>
      <c r="E15" s="70"/>
      <c r="F15" s="43"/>
      <c r="G15" s="70"/>
      <c r="H15" s="43"/>
      <c r="I15" s="70"/>
      <c r="J15" s="43">
        <v>130000</v>
      </c>
      <c r="K15" s="70">
        <f>J15/J16</f>
        <v>0.23423423423423423</v>
      </c>
      <c r="L15" s="44" t="s">
        <v>15</v>
      </c>
      <c r="M15" s="78">
        <f t="shared" ref="M15:M25" si="1">D15+F15+H15+J15</f>
        <v>130000</v>
      </c>
    </row>
    <row r="16" spans="2:13" ht="18" customHeight="1" x14ac:dyDescent="0.25">
      <c r="B16" s="42" t="s">
        <v>12</v>
      </c>
      <c r="C16" s="43"/>
      <c r="D16" s="43">
        <v>150000</v>
      </c>
      <c r="E16" s="70"/>
      <c r="F16" s="43">
        <v>250000</v>
      </c>
      <c r="G16" s="70"/>
      <c r="H16" s="43">
        <v>404000</v>
      </c>
      <c r="I16" s="70"/>
      <c r="J16" s="43">
        <v>555000</v>
      </c>
      <c r="K16" s="70"/>
      <c r="L16" s="44" t="s">
        <v>13</v>
      </c>
      <c r="M16" s="78">
        <f t="shared" si="1"/>
        <v>1359000</v>
      </c>
    </row>
    <row r="17" spans="2:13" ht="18" customHeight="1" x14ac:dyDescent="0.25">
      <c r="B17" s="42" t="s">
        <v>115</v>
      </c>
      <c r="C17" s="43"/>
      <c r="D17" s="43">
        <v>240000</v>
      </c>
      <c r="E17" s="70">
        <f>D17/D16</f>
        <v>1.6</v>
      </c>
      <c r="F17" s="43">
        <v>300000</v>
      </c>
      <c r="G17" s="70">
        <f>F17/F16</f>
        <v>1.2</v>
      </c>
      <c r="H17" s="43">
        <v>300000</v>
      </c>
      <c r="I17" s="70">
        <f>H17/H16</f>
        <v>0.74257425742574257</v>
      </c>
      <c r="J17" s="43">
        <v>150000</v>
      </c>
      <c r="K17" s="70">
        <f>J17/J16</f>
        <v>0.27027027027027029</v>
      </c>
      <c r="L17" s="44" t="s">
        <v>27</v>
      </c>
      <c r="M17" s="78">
        <f t="shared" si="1"/>
        <v>990000</v>
      </c>
    </row>
    <row r="18" spans="2:13" ht="18" customHeight="1" x14ac:dyDescent="0.25">
      <c r="B18" s="42" t="s">
        <v>116</v>
      </c>
      <c r="C18" s="43"/>
      <c r="D18" s="43"/>
      <c r="E18" s="70"/>
      <c r="F18" s="43">
        <v>100000</v>
      </c>
      <c r="G18" s="70">
        <f>F18/F16</f>
        <v>0.4</v>
      </c>
      <c r="H18" s="43"/>
      <c r="I18" s="70"/>
      <c r="J18" s="43"/>
      <c r="K18" s="70"/>
      <c r="L18" s="44"/>
      <c r="M18" s="78">
        <f t="shared" si="1"/>
        <v>100000</v>
      </c>
    </row>
    <row r="19" spans="2:13" ht="18" customHeight="1" x14ac:dyDescent="0.25">
      <c r="B19" s="42" t="s">
        <v>26</v>
      </c>
      <c r="C19" s="43"/>
      <c r="D19" s="43">
        <v>30000</v>
      </c>
      <c r="E19" s="70">
        <f>D19/D16</f>
        <v>0.2</v>
      </c>
      <c r="F19" s="43">
        <v>100000</v>
      </c>
      <c r="G19" s="70">
        <f>F19/F16</f>
        <v>0.4</v>
      </c>
      <c r="H19" s="43">
        <v>30000</v>
      </c>
      <c r="I19" s="70">
        <f>H19/H16</f>
        <v>7.4257425742574254E-2</v>
      </c>
      <c r="J19" s="43">
        <v>150000</v>
      </c>
      <c r="K19" s="70">
        <f>J19/J16</f>
        <v>0.27027027027027029</v>
      </c>
      <c r="L19" s="44" t="s">
        <v>15</v>
      </c>
      <c r="M19" s="78">
        <f t="shared" si="1"/>
        <v>310000</v>
      </c>
    </row>
    <row r="20" spans="2:13" ht="18" customHeight="1" x14ac:dyDescent="0.25">
      <c r="B20" s="42" t="s">
        <v>101</v>
      </c>
      <c r="C20" s="43"/>
      <c r="D20" s="43">
        <v>30000</v>
      </c>
      <c r="E20" s="70">
        <f>D20/D16</f>
        <v>0.2</v>
      </c>
      <c r="F20" s="43">
        <v>60000</v>
      </c>
      <c r="G20" s="70">
        <f>F20/F16</f>
        <v>0.24</v>
      </c>
      <c r="H20" s="43">
        <v>60000</v>
      </c>
      <c r="I20" s="70">
        <f>H20/H16</f>
        <v>0.14851485148514851</v>
      </c>
      <c r="J20" s="43">
        <v>75000</v>
      </c>
      <c r="K20" s="70">
        <f>J20/J16</f>
        <v>0.13513513513513514</v>
      </c>
      <c r="L20" s="44" t="s">
        <v>14</v>
      </c>
      <c r="M20" s="78">
        <f t="shared" si="1"/>
        <v>225000</v>
      </c>
    </row>
    <row r="21" spans="2:13" ht="18" customHeight="1" x14ac:dyDescent="0.25">
      <c r="B21" s="42" t="s">
        <v>100</v>
      </c>
      <c r="C21" s="43"/>
      <c r="D21" s="43">
        <v>90000</v>
      </c>
      <c r="E21" s="70">
        <f>D21/D16</f>
        <v>0.6</v>
      </c>
      <c r="F21" s="43">
        <v>150000</v>
      </c>
      <c r="G21" s="70">
        <f>F21/F16</f>
        <v>0.6</v>
      </c>
      <c r="H21" s="43">
        <v>90000</v>
      </c>
      <c r="I21" s="70">
        <f>H21/H16</f>
        <v>0.22277227722772278</v>
      </c>
      <c r="J21" s="43">
        <v>225000</v>
      </c>
      <c r="K21" s="70">
        <f>J21/J16</f>
        <v>0.40540540540540543</v>
      </c>
      <c r="L21" s="44" t="s">
        <v>20</v>
      </c>
      <c r="M21" s="78">
        <f t="shared" si="1"/>
        <v>555000</v>
      </c>
    </row>
    <row r="22" spans="2:13" ht="18" customHeight="1" x14ac:dyDescent="0.25">
      <c r="B22" s="42" t="s">
        <v>108</v>
      </c>
      <c r="C22" s="43"/>
      <c r="D22" s="43">
        <v>200000</v>
      </c>
      <c r="E22" s="70">
        <f>D22/D16</f>
        <v>1.3333333333333333</v>
      </c>
      <c r="F22" s="59">
        <v>300000</v>
      </c>
      <c r="G22" s="70">
        <f>F22/F16</f>
        <v>1.2</v>
      </c>
      <c r="H22" s="43">
        <v>200000</v>
      </c>
      <c r="I22" s="70">
        <f>H22/H16</f>
        <v>0.49504950495049505</v>
      </c>
      <c r="J22" s="44" t="s">
        <v>102</v>
      </c>
      <c r="K22" s="72"/>
      <c r="L22" s="44" t="s">
        <v>20</v>
      </c>
      <c r="M22" s="78" t="e">
        <f t="shared" si="1"/>
        <v>#VALUE!</v>
      </c>
    </row>
    <row r="23" spans="2:13" ht="18" customHeight="1" x14ac:dyDescent="0.25">
      <c r="B23" s="42" t="s">
        <v>107</v>
      </c>
      <c r="C23" s="43"/>
      <c r="D23" s="43">
        <v>120000</v>
      </c>
      <c r="E23" s="70">
        <f>D23/D16</f>
        <v>0.8</v>
      </c>
      <c r="F23" s="59">
        <v>200000</v>
      </c>
      <c r="G23" s="70">
        <f>F23/F16</f>
        <v>0.8</v>
      </c>
      <c r="H23" s="43">
        <v>200000</v>
      </c>
      <c r="I23" s="70">
        <f>H23/H16</f>
        <v>0.49504950495049505</v>
      </c>
      <c r="J23" s="43"/>
      <c r="K23" s="70"/>
      <c r="L23" s="44"/>
      <c r="M23" s="78">
        <f t="shared" si="1"/>
        <v>520000</v>
      </c>
    </row>
    <row r="24" spans="2:13" ht="18" customHeight="1" x14ac:dyDescent="0.25">
      <c r="B24" s="42" t="s">
        <v>16</v>
      </c>
      <c r="C24" s="43"/>
      <c r="D24" s="43">
        <v>60000</v>
      </c>
      <c r="E24" s="70">
        <f>D24/D16</f>
        <v>0.4</v>
      </c>
      <c r="F24" s="60">
        <v>217000</v>
      </c>
      <c r="G24" s="70">
        <f>F24/F16</f>
        <v>0.86799999999999999</v>
      </c>
      <c r="H24" s="43">
        <v>217000</v>
      </c>
      <c r="I24" s="70">
        <f>H24/H16</f>
        <v>0.53712871287128716</v>
      </c>
      <c r="J24" s="46">
        <v>326000</v>
      </c>
      <c r="K24" s="71">
        <f>J24/J16</f>
        <v>0.58738738738738738</v>
      </c>
      <c r="L24" s="44" t="s">
        <v>19</v>
      </c>
      <c r="M24" s="78">
        <f t="shared" si="1"/>
        <v>820000</v>
      </c>
    </row>
    <row r="25" spans="2:13" ht="18" customHeight="1" x14ac:dyDescent="0.25">
      <c r="B25" s="47" t="s">
        <v>112</v>
      </c>
      <c r="C25" s="43"/>
      <c r="D25" s="43">
        <v>50000</v>
      </c>
      <c r="E25" s="71">
        <f>D25/D16</f>
        <v>0.33333333333333331</v>
      </c>
      <c r="F25" s="60">
        <v>100000</v>
      </c>
      <c r="G25" s="71">
        <f>F25/F16</f>
        <v>0.4</v>
      </c>
      <c r="H25" s="46" t="s">
        <v>114</v>
      </c>
      <c r="I25" s="70"/>
      <c r="J25" s="46" t="s">
        <v>103</v>
      </c>
      <c r="K25" s="73"/>
      <c r="L25" s="44" t="s">
        <v>19</v>
      </c>
      <c r="M25" s="78">
        <f t="shared" si="1"/>
        <v>150000.38</v>
      </c>
    </row>
    <row r="26" spans="2:13" ht="18" customHeight="1" x14ac:dyDescent="0.25">
      <c r="B26" s="55" t="s">
        <v>113</v>
      </c>
      <c r="C26" s="43"/>
      <c r="D26" s="43"/>
      <c r="E26" s="63"/>
      <c r="F26" s="59"/>
      <c r="G26" s="63"/>
      <c r="H26" s="46" t="s">
        <v>103</v>
      </c>
      <c r="I26" s="63"/>
      <c r="J26" s="46" t="s">
        <v>104</v>
      </c>
      <c r="K26" s="63"/>
      <c r="L26" s="44" t="s">
        <v>8</v>
      </c>
      <c r="M26" s="1"/>
    </row>
    <row r="27" spans="2:13" ht="18" customHeight="1" x14ac:dyDescent="0.25">
      <c r="B27" s="42" t="s">
        <v>117</v>
      </c>
      <c r="C27" s="43"/>
      <c r="D27" s="43"/>
      <c r="E27" s="67"/>
      <c r="F27" s="59">
        <v>100000</v>
      </c>
      <c r="G27" s="74">
        <f>F27/F16</f>
        <v>0.4</v>
      </c>
      <c r="H27" s="43"/>
      <c r="I27" s="63"/>
      <c r="J27" s="43"/>
      <c r="K27" s="63"/>
      <c r="L27" s="44"/>
      <c r="M27" s="1"/>
    </row>
    <row r="28" spans="2:13" ht="18" customHeight="1" x14ac:dyDescent="0.25">
      <c r="B28" s="42" t="s">
        <v>118</v>
      </c>
      <c r="C28" s="43"/>
      <c r="D28" s="43"/>
      <c r="E28" s="67"/>
      <c r="F28" s="59">
        <v>60000</v>
      </c>
      <c r="G28" s="74">
        <f>F28/F16</f>
        <v>0.24</v>
      </c>
      <c r="H28" s="43"/>
      <c r="I28" s="63"/>
      <c r="J28" s="43"/>
      <c r="K28" s="63"/>
      <c r="L28" s="44"/>
      <c r="M28" s="1"/>
    </row>
    <row r="29" spans="2:13" ht="18" customHeight="1" x14ac:dyDescent="0.25">
      <c r="B29" s="42" t="s">
        <v>119</v>
      </c>
      <c r="C29" s="43"/>
      <c r="D29" s="43"/>
      <c r="E29" s="67"/>
      <c r="F29" s="59">
        <v>60000</v>
      </c>
      <c r="G29" s="74">
        <f>F29/F16</f>
        <v>0.24</v>
      </c>
      <c r="H29" s="43"/>
      <c r="I29" s="63"/>
      <c r="J29" s="43"/>
      <c r="K29" s="63"/>
      <c r="L29" s="44"/>
      <c r="M29" s="1"/>
    </row>
    <row r="30" spans="2:13" ht="18" customHeight="1" x14ac:dyDescent="0.25">
      <c r="B30" s="42" t="s">
        <v>120</v>
      </c>
      <c r="C30" s="43"/>
      <c r="D30" s="43"/>
      <c r="E30" s="67"/>
      <c r="F30" s="59">
        <v>100000</v>
      </c>
      <c r="G30" s="74">
        <f>F30/F16</f>
        <v>0.4</v>
      </c>
      <c r="H30" s="43"/>
      <c r="I30" s="63"/>
      <c r="J30" s="43"/>
      <c r="K30" s="63"/>
      <c r="L30" s="44"/>
      <c r="M30" s="1"/>
    </row>
    <row r="31" spans="2:13" ht="18" customHeight="1" x14ac:dyDescent="0.25">
      <c r="B31" s="42" t="s">
        <v>122</v>
      </c>
      <c r="C31" s="43"/>
      <c r="D31" s="43">
        <v>60000</v>
      </c>
      <c r="E31" s="67">
        <f>D31/D16</f>
        <v>0.4</v>
      </c>
      <c r="F31" s="44"/>
      <c r="G31" s="64"/>
      <c r="H31" s="43"/>
      <c r="I31" s="63"/>
      <c r="J31" s="43"/>
      <c r="K31" s="63"/>
      <c r="L31" s="44"/>
      <c r="M31" s="1"/>
    </row>
    <row r="32" spans="2:13" ht="18" customHeight="1" x14ac:dyDescent="0.25">
      <c r="B32" s="55" t="s">
        <v>109</v>
      </c>
      <c r="C32" s="49"/>
      <c r="D32" s="49"/>
      <c r="E32" s="65"/>
      <c r="F32" s="61"/>
      <c r="G32" s="65"/>
      <c r="H32" s="49">
        <v>100000</v>
      </c>
      <c r="I32" s="65"/>
      <c r="J32" s="51"/>
      <c r="K32" s="65"/>
      <c r="L32" s="50"/>
      <c r="M32" s="1"/>
    </row>
    <row r="33" spans="2:13" ht="18" customHeight="1" x14ac:dyDescent="0.25">
      <c r="B33" s="55" t="s">
        <v>110</v>
      </c>
      <c r="C33" s="52"/>
      <c r="D33" s="52"/>
      <c r="E33" s="66"/>
      <c r="F33" s="52"/>
      <c r="G33" s="52"/>
      <c r="H33" s="52">
        <v>300000</v>
      </c>
      <c r="I33" s="66"/>
      <c r="J33" s="53"/>
      <c r="K33" s="52"/>
      <c r="L33" s="54"/>
      <c r="M33" s="1"/>
    </row>
    <row r="34" spans="2:13" s="1" customFormat="1" ht="21.75" customHeight="1" x14ac:dyDescent="0.25">
      <c r="B34" s="68" t="s">
        <v>17</v>
      </c>
      <c r="C34" s="7">
        <f>SUM(C11:C33)</f>
        <v>0</v>
      </c>
      <c r="D34" s="7">
        <f>SUM(D11:D33)</f>
        <v>1318000</v>
      </c>
      <c r="E34" s="7"/>
      <c r="F34" s="7">
        <f>SUM(F11:F33)</f>
        <v>2617000</v>
      </c>
      <c r="G34" s="7"/>
      <c r="H34" s="7">
        <f>SUM(H11:H33)</f>
        <v>2421000</v>
      </c>
      <c r="I34" s="7"/>
      <c r="J34" s="7">
        <f>SUM(J11:J33)</f>
        <v>2377000</v>
      </c>
      <c r="K34" s="7"/>
      <c r="L34" s="5"/>
    </row>
  </sheetData>
  <mergeCells count="6">
    <mergeCell ref="B6:B7"/>
    <mergeCell ref="L6:L7"/>
    <mergeCell ref="J10:K10"/>
    <mergeCell ref="H10:I10"/>
    <mergeCell ref="F10:G10"/>
    <mergeCell ref="D10:E10"/>
  </mergeCells>
  <pageMargins left="0.23622047244094491" right="0.15748031496062992" top="0.31496062992125984" bottom="0.23622047244094491" header="0.31496062992125984" footer="0.31496062992125984"/>
  <pageSetup paperSize="9" scale="9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57"/>
  <sheetViews>
    <sheetView view="pageBreakPreview" topLeftCell="A10" zoomScaleNormal="100" zoomScaleSheetLayoutView="100" workbookViewId="0">
      <selection activeCell="F40" sqref="F40"/>
    </sheetView>
  </sheetViews>
  <sheetFormatPr defaultColWidth="8.85546875" defaultRowHeight="15" x14ac:dyDescent="0.25"/>
  <cols>
    <col min="1" max="1" width="5.42578125" style="12" customWidth="1"/>
    <col min="2" max="2" width="71" customWidth="1"/>
    <col min="3" max="3" width="18" style="16" hidden="1" customWidth="1"/>
    <col min="4" max="5" width="18" style="20" hidden="1" customWidth="1"/>
    <col min="6" max="6" width="18.42578125" style="21" customWidth="1"/>
  </cols>
  <sheetData>
    <row r="1" spans="1:6" ht="31.5" customHeight="1" x14ac:dyDescent="0.25">
      <c r="A1" s="640" t="s">
        <v>92</v>
      </c>
      <c r="B1" s="641"/>
      <c r="C1" s="641"/>
      <c r="D1" s="641"/>
      <c r="E1" s="641"/>
      <c r="F1" s="642"/>
    </row>
    <row r="2" spans="1:6" ht="36" customHeight="1" x14ac:dyDescent="0.25">
      <c r="A2" s="645" t="s">
        <v>28</v>
      </c>
      <c r="B2" s="645" t="s">
        <v>29</v>
      </c>
      <c r="C2" s="14" t="s">
        <v>30</v>
      </c>
      <c r="D2" s="22" t="s">
        <v>93</v>
      </c>
      <c r="E2" s="32"/>
      <c r="F2" s="646" t="s">
        <v>31</v>
      </c>
    </row>
    <row r="3" spans="1:6" ht="39" customHeight="1" x14ac:dyDescent="0.25">
      <c r="A3" s="645"/>
      <c r="B3" s="645"/>
      <c r="C3" s="15" t="s">
        <v>94</v>
      </c>
      <c r="D3" s="15" t="s">
        <v>94</v>
      </c>
      <c r="E3" s="15" t="s">
        <v>95</v>
      </c>
      <c r="F3" s="646"/>
    </row>
    <row r="4" spans="1:6" ht="30" customHeight="1" x14ac:dyDescent="0.25">
      <c r="A4" s="27" t="s">
        <v>32</v>
      </c>
      <c r="B4" s="28" t="s">
        <v>91</v>
      </c>
      <c r="C4" s="23">
        <f>SUM(C5:C11)</f>
        <v>14503000</v>
      </c>
      <c r="D4" s="23">
        <f t="shared" ref="D4:E4" si="0">SUM(D5:D11)</f>
        <v>23815000</v>
      </c>
      <c r="E4" s="23">
        <f t="shared" si="0"/>
        <v>4149000</v>
      </c>
      <c r="F4" s="15" t="s">
        <v>33</v>
      </c>
    </row>
    <row r="5" spans="1:6" ht="18.75" customHeight="1" x14ac:dyDescent="0.25">
      <c r="A5" s="29">
        <v>1</v>
      </c>
      <c r="B5" s="30" t="s">
        <v>34</v>
      </c>
      <c r="C5" s="24">
        <v>2147000</v>
      </c>
      <c r="D5" s="25">
        <v>3668000</v>
      </c>
      <c r="E5" s="25"/>
      <c r="F5" s="17"/>
    </row>
    <row r="6" spans="1:6" ht="18.75" customHeight="1" x14ac:dyDescent="0.25">
      <c r="A6" s="29">
        <v>2</v>
      </c>
      <c r="B6" s="30" t="s">
        <v>35</v>
      </c>
      <c r="C6" s="24"/>
      <c r="D6" s="25">
        <v>3554000</v>
      </c>
      <c r="E6" s="25"/>
      <c r="F6" s="17"/>
    </row>
    <row r="7" spans="1:6" ht="18.75" customHeight="1" x14ac:dyDescent="0.25">
      <c r="A7" s="29">
        <v>3</v>
      </c>
      <c r="B7" s="30" t="s">
        <v>36</v>
      </c>
      <c r="C7" s="24">
        <v>3339000</v>
      </c>
      <c r="D7" s="25">
        <v>3649000</v>
      </c>
      <c r="E7" s="25"/>
      <c r="F7" s="17"/>
    </row>
    <row r="8" spans="1:6" ht="18.75" customHeight="1" x14ac:dyDescent="0.25">
      <c r="A8" s="29">
        <v>4</v>
      </c>
      <c r="B8" s="30" t="s">
        <v>37</v>
      </c>
      <c r="C8" s="24">
        <v>3709000</v>
      </c>
      <c r="D8" s="25">
        <v>4058000</v>
      </c>
      <c r="E8" s="25"/>
      <c r="F8" s="17"/>
    </row>
    <row r="9" spans="1:6" ht="18.75" customHeight="1" x14ac:dyDescent="0.25">
      <c r="A9" s="29">
        <v>5</v>
      </c>
      <c r="B9" s="30" t="s">
        <v>38</v>
      </c>
      <c r="C9" s="24">
        <v>2147000</v>
      </c>
      <c r="D9" s="25">
        <v>4449000</v>
      </c>
      <c r="E9" s="25"/>
      <c r="F9" s="17"/>
    </row>
    <row r="10" spans="1:6" ht="18.75" customHeight="1" x14ac:dyDescent="0.25">
      <c r="A10" s="29">
        <v>6</v>
      </c>
      <c r="B10" s="30" t="s">
        <v>39</v>
      </c>
      <c r="C10" s="24">
        <v>3161000</v>
      </c>
      <c r="D10" s="25">
        <v>4437000</v>
      </c>
      <c r="E10" s="25">
        <v>4149000</v>
      </c>
      <c r="F10" s="17"/>
    </row>
    <row r="11" spans="1:6" ht="18.75" customHeight="1" x14ac:dyDescent="0.25">
      <c r="A11" s="29">
        <v>7</v>
      </c>
      <c r="B11" s="30" t="s">
        <v>40</v>
      </c>
      <c r="C11" s="24"/>
      <c r="D11" s="25"/>
      <c r="E11" s="25"/>
      <c r="F11" s="17"/>
    </row>
    <row r="12" spans="1:6" s="13" customFormat="1" ht="27.75" customHeight="1" x14ac:dyDescent="0.25">
      <c r="A12" s="27" t="s">
        <v>41</v>
      </c>
      <c r="B12" s="31" t="s">
        <v>42</v>
      </c>
      <c r="C12" s="23">
        <f>SUM(C13:C22)</f>
        <v>12188000</v>
      </c>
      <c r="D12" s="23">
        <f t="shared" ref="D12:E12" si="1">SUM(D13:D22)</f>
        <v>16794000</v>
      </c>
      <c r="E12" s="23">
        <f t="shared" si="1"/>
        <v>7359000</v>
      </c>
      <c r="F12" s="18" t="s">
        <v>43</v>
      </c>
    </row>
    <row r="13" spans="1:6" ht="18.75" customHeight="1" x14ac:dyDescent="0.25">
      <c r="A13" s="29">
        <v>1</v>
      </c>
      <c r="B13" s="30" t="s">
        <v>44</v>
      </c>
      <c r="C13" s="24"/>
      <c r="D13" s="25">
        <v>3428000</v>
      </c>
      <c r="E13" s="25">
        <v>3628000</v>
      </c>
      <c r="F13" s="17"/>
    </row>
    <row r="14" spans="1:6" ht="18.75" customHeight="1" x14ac:dyDescent="0.25">
      <c r="A14" s="29">
        <v>2</v>
      </c>
      <c r="B14" s="30" t="s">
        <v>45</v>
      </c>
      <c r="C14" s="24">
        <v>3509000</v>
      </c>
      <c r="D14" s="25">
        <v>3531000</v>
      </c>
      <c r="E14" s="25">
        <v>3731000</v>
      </c>
      <c r="F14" s="17"/>
    </row>
    <row r="15" spans="1:6" ht="18.75" customHeight="1" x14ac:dyDescent="0.25">
      <c r="A15" s="29">
        <v>3</v>
      </c>
      <c r="B15" s="30" t="s">
        <v>46</v>
      </c>
      <c r="C15" s="24">
        <v>2269000</v>
      </c>
      <c r="D15" s="25">
        <v>3428000</v>
      </c>
      <c r="E15" s="25"/>
      <c r="F15" s="17"/>
    </row>
    <row r="16" spans="1:6" ht="18.75" customHeight="1" x14ac:dyDescent="0.25">
      <c r="A16" s="29">
        <v>4</v>
      </c>
      <c r="B16" s="30" t="s">
        <v>47</v>
      </c>
      <c r="C16" s="24"/>
      <c r="D16" s="25"/>
      <c r="E16" s="25"/>
      <c r="F16" s="17"/>
    </row>
    <row r="17" spans="1:6" ht="18.75" customHeight="1" x14ac:dyDescent="0.25">
      <c r="A17" s="29">
        <v>5</v>
      </c>
      <c r="B17" s="30" t="s">
        <v>48</v>
      </c>
      <c r="C17" s="24"/>
      <c r="D17" s="25"/>
      <c r="E17" s="25"/>
      <c r="F17" s="17"/>
    </row>
    <row r="18" spans="1:6" ht="21" customHeight="1" x14ac:dyDescent="0.3">
      <c r="A18" s="29">
        <v>6</v>
      </c>
      <c r="B18" s="33" t="s">
        <v>49</v>
      </c>
      <c r="C18" s="34">
        <v>3509000</v>
      </c>
      <c r="D18" s="35">
        <v>3328000</v>
      </c>
      <c r="E18" s="35"/>
      <c r="F18" s="36"/>
    </row>
    <row r="19" spans="1:6" ht="18.75" customHeight="1" x14ac:dyDescent="0.25">
      <c r="A19" s="29">
        <v>7</v>
      </c>
      <c r="B19" s="30" t="s">
        <v>50</v>
      </c>
      <c r="C19" s="24"/>
      <c r="D19" s="25"/>
      <c r="E19" s="25"/>
      <c r="F19" s="17"/>
    </row>
    <row r="20" spans="1:6" ht="18.75" customHeight="1" x14ac:dyDescent="0.25">
      <c r="A20" s="29">
        <v>8</v>
      </c>
      <c r="B20" s="30" t="s">
        <v>51</v>
      </c>
      <c r="C20" s="24"/>
      <c r="D20" s="25"/>
      <c r="E20" s="25"/>
      <c r="F20" s="17"/>
    </row>
    <row r="21" spans="1:6" ht="38.25" customHeight="1" x14ac:dyDescent="0.25">
      <c r="A21" s="29">
        <v>9</v>
      </c>
      <c r="B21" s="30" t="s">
        <v>52</v>
      </c>
      <c r="C21" s="37">
        <v>2901000</v>
      </c>
      <c r="D21" s="25">
        <v>3079000</v>
      </c>
      <c r="E21" s="25"/>
      <c r="F21" s="38" t="s">
        <v>96</v>
      </c>
    </row>
    <row r="22" spans="1:6" ht="18.75" customHeight="1" x14ac:dyDescent="0.25">
      <c r="A22" s="29">
        <v>10</v>
      </c>
      <c r="B22" s="30" t="s">
        <v>53</v>
      </c>
      <c r="C22" s="24"/>
      <c r="D22" s="25"/>
      <c r="E22" s="25"/>
      <c r="F22" s="17"/>
    </row>
    <row r="23" spans="1:6" s="13" customFormat="1" ht="30.75" customHeight="1" x14ac:dyDescent="0.25">
      <c r="A23" s="27" t="s">
        <v>54</v>
      </c>
      <c r="B23" s="31" t="s">
        <v>55</v>
      </c>
      <c r="C23" s="23">
        <f>SUM(C24:C42)</f>
        <v>31028000</v>
      </c>
      <c r="D23" s="23">
        <f>SUM(D24:D42)</f>
        <v>35171000</v>
      </c>
      <c r="E23" s="23">
        <f>SUM(E24:E42)</f>
        <v>0</v>
      </c>
      <c r="F23" s="18" t="s">
        <v>56</v>
      </c>
    </row>
    <row r="24" spans="1:6" ht="20.25" customHeight="1" x14ac:dyDescent="0.25">
      <c r="A24" s="29">
        <v>1</v>
      </c>
      <c r="B24" s="30" t="s">
        <v>58</v>
      </c>
      <c r="C24" s="24">
        <v>3339000</v>
      </c>
      <c r="D24" s="25">
        <v>2692000</v>
      </c>
      <c r="E24" s="25"/>
      <c r="F24" s="17"/>
    </row>
    <row r="25" spans="1:6" ht="20.25" customHeight="1" x14ac:dyDescent="0.25">
      <c r="A25" s="29">
        <v>2</v>
      </c>
      <c r="B25" s="30" t="s">
        <v>59</v>
      </c>
      <c r="C25" s="24">
        <v>3339000</v>
      </c>
      <c r="D25" s="25">
        <v>2861000</v>
      </c>
      <c r="E25" s="25"/>
      <c r="F25" s="17"/>
    </row>
    <row r="26" spans="1:6" ht="20.25" customHeight="1" x14ac:dyDescent="0.25">
      <c r="A26" s="29">
        <v>3</v>
      </c>
      <c r="B26" s="30" t="s">
        <v>97</v>
      </c>
      <c r="C26" s="24">
        <v>1676000</v>
      </c>
      <c r="D26" s="25">
        <v>2838000</v>
      </c>
      <c r="E26" s="25"/>
      <c r="F26" s="17"/>
    </row>
    <row r="27" spans="1:6" ht="20.25" customHeight="1" x14ac:dyDescent="0.25">
      <c r="A27" s="29">
        <v>4</v>
      </c>
      <c r="B27" s="30" t="s">
        <v>60</v>
      </c>
      <c r="C27" s="24">
        <v>2147000</v>
      </c>
      <c r="D27" s="25">
        <v>2861000</v>
      </c>
      <c r="E27" s="25"/>
      <c r="F27" s="17"/>
    </row>
    <row r="28" spans="1:6" ht="20.25" customHeight="1" x14ac:dyDescent="0.25">
      <c r="A28" s="29">
        <v>5</v>
      </c>
      <c r="B28" s="30" t="s">
        <v>61</v>
      </c>
      <c r="C28" s="24"/>
      <c r="D28" s="25"/>
      <c r="E28" s="25"/>
      <c r="F28" s="17"/>
    </row>
    <row r="29" spans="1:6" ht="20.25" customHeight="1" x14ac:dyDescent="0.25">
      <c r="A29" s="29">
        <v>6</v>
      </c>
      <c r="B29" s="30" t="s">
        <v>62</v>
      </c>
      <c r="C29" s="24">
        <v>2101000</v>
      </c>
      <c r="D29" s="25">
        <v>1699000</v>
      </c>
      <c r="E29" s="25"/>
      <c r="F29" s="17"/>
    </row>
    <row r="30" spans="1:6" ht="20.25" customHeight="1" x14ac:dyDescent="0.25">
      <c r="A30" s="29">
        <v>7</v>
      </c>
      <c r="B30" s="30" t="s">
        <v>63</v>
      </c>
      <c r="C30" s="24">
        <v>2269000</v>
      </c>
      <c r="D30" s="25">
        <v>1815000</v>
      </c>
      <c r="E30" s="25"/>
      <c r="F30" s="17"/>
    </row>
    <row r="31" spans="1:6" ht="20.25" customHeight="1" x14ac:dyDescent="0.25">
      <c r="A31" s="29">
        <v>8</v>
      </c>
      <c r="B31" s="30" t="s">
        <v>64</v>
      </c>
      <c r="C31" s="24">
        <v>2901000</v>
      </c>
      <c r="D31" s="25">
        <v>2979000</v>
      </c>
      <c r="E31" s="25"/>
      <c r="F31" s="17"/>
    </row>
    <row r="32" spans="1:6" ht="20.25" customHeight="1" x14ac:dyDescent="0.25">
      <c r="A32" s="29">
        <v>9</v>
      </c>
      <c r="B32" s="30" t="s">
        <v>65</v>
      </c>
      <c r="C32" s="24"/>
      <c r="D32" s="25"/>
      <c r="E32" s="25"/>
      <c r="F32" s="17"/>
    </row>
    <row r="33" spans="1:6" ht="20.25" customHeight="1" x14ac:dyDescent="0.25">
      <c r="A33" s="29">
        <v>10</v>
      </c>
      <c r="B33" s="30" t="s">
        <v>66</v>
      </c>
      <c r="C33" s="24">
        <v>2147000</v>
      </c>
      <c r="D33" s="25">
        <v>2861000</v>
      </c>
      <c r="E33" s="25"/>
      <c r="F33" s="17"/>
    </row>
    <row r="34" spans="1:6" ht="20.25" customHeight="1" x14ac:dyDescent="0.25">
      <c r="A34" s="29">
        <v>11</v>
      </c>
      <c r="B34" s="30" t="s">
        <v>67</v>
      </c>
      <c r="C34" s="24"/>
      <c r="D34" s="25"/>
      <c r="E34" s="25"/>
      <c r="F34" s="17"/>
    </row>
    <row r="35" spans="1:6" ht="20.25" customHeight="1" x14ac:dyDescent="0.25">
      <c r="A35" s="29">
        <v>12</v>
      </c>
      <c r="B35" s="30" t="s">
        <v>68</v>
      </c>
      <c r="C35" s="24">
        <v>2147000</v>
      </c>
      <c r="D35" s="25">
        <v>2879000</v>
      </c>
      <c r="E35" s="25"/>
      <c r="F35" s="17"/>
    </row>
    <row r="36" spans="1:6" ht="20.25" customHeight="1" x14ac:dyDescent="0.25">
      <c r="A36" s="29">
        <v>13</v>
      </c>
      <c r="B36" s="30" t="s">
        <v>69</v>
      </c>
      <c r="C36" s="24">
        <v>2147000</v>
      </c>
      <c r="D36" s="25">
        <v>2761000</v>
      </c>
      <c r="E36" s="25"/>
      <c r="F36" s="17"/>
    </row>
    <row r="37" spans="1:6" ht="20.25" customHeight="1" x14ac:dyDescent="0.25">
      <c r="A37" s="29">
        <v>14</v>
      </c>
      <c r="B37" s="30" t="s">
        <v>70</v>
      </c>
      <c r="C37" s="24">
        <v>2147000</v>
      </c>
      <c r="D37" s="25">
        <v>2861000</v>
      </c>
      <c r="E37" s="25"/>
      <c r="F37" s="17"/>
    </row>
    <row r="38" spans="1:6" ht="20.25" customHeight="1" x14ac:dyDescent="0.25">
      <c r="A38" s="29">
        <v>15</v>
      </c>
      <c r="B38" s="30" t="s">
        <v>71</v>
      </c>
      <c r="C38" s="24">
        <v>1767000</v>
      </c>
      <c r="D38" s="25">
        <v>2879000</v>
      </c>
      <c r="E38" s="25"/>
      <c r="F38" s="17"/>
    </row>
    <row r="39" spans="1:6" ht="20.25" customHeight="1" x14ac:dyDescent="0.25">
      <c r="A39" s="29">
        <v>16</v>
      </c>
      <c r="B39" s="30" t="s">
        <v>72</v>
      </c>
      <c r="C39" s="24">
        <v>2901000</v>
      </c>
      <c r="D39" s="25">
        <v>3185000</v>
      </c>
      <c r="E39" s="25"/>
      <c r="F39" s="17"/>
    </row>
    <row r="40" spans="1:6" ht="20.25" customHeight="1" x14ac:dyDescent="0.25">
      <c r="A40" s="29">
        <v>17</v>
      </c>
      <c r="B40" s="30" t="s">
        <v>73</v>
      </c>
      <c r="C40" s="24"/>
      <c r="D40" s="25"/>
      <c r="E40" s="25"/>
      <c r="F40" s="17"/>
    </row>
    <row r="41" spans="1:6" ht="20.25" customHeight="1" x14ac:dyDescent="0.25">
      <c r="A41" s="29">
        <v>18</v>
      </c>
      <c r="B41" s="30" t="s">
        <v>67</v>
      </c>
      <c r="C41" s="24"/>
      <c r="D41" s="25"/>
      <c r="E41" s="25"/>
      <c r="F41" s="17"/>
    </row>
    <row r="42" spans="1:6" ht="20.25" customHeight="1" x14ac:dyDescent="0.25">
      <c r="A42" s="29">
        <v>19</v>
      </c>
      <c r="B42" s="30" t="s">
        <v>74</v>
      </c>
      <c r="C42" s="24"/>
      <c r="D42" s="25"/>
      <c r="E42" s="25"/>
      <c r="F42" s="17"/>
    </row>
    <row r="43" spans="1:6" s="13" customFormat="1" ht="18.75" x14ac:dyDescent="0.25">
      <c r="A43" s="27" t="s">
        <v>75</v>
      </c>
      <c r="B43" s="31" t="s">
        <v>76</v>
      </c>
      <c r="C43" s="23">
        <f>SUM(C45:C56)</f>
        <v>7798000</v>
      </c>
      <c r="D43" s="23">
        <f t="shared" ref="D43:E43" si="2">SUM(D45:D56)</f>
        <v>12339000</v>
      </c>
      <c r="E43" s="23">
        <f t="shared" si="2"/>
        <v>2610000</v>
      </c>
      <c r="F43" s="18" t="s">
        <v>77</v>
      </c>
    </row>
    <row r="44" spans="1:6" ht="20.25" customHeight="1" x14ac:dyDescent="0.25">
      <c r="A44" s="29">
        <v>1</v>
      </c>
      <c r="B44" s="30" t="s">
        <v>57</v>
      </c>
      <c r="C44" s="24"/>
      <c r="D44" s="25">
        <v>3182000</v>
      </c>
      <c r="E44" s="25"/>
      <c r="F44" s="25">
        <v>3703000</v>
      </c>
    </row>
    <row r="45" spans="1:6" ht="19.5" customHeight="1" x14ac:dyDescent="0.25">
      <c r="A45" s="29">
        <v>2</v>
      </c>
      <c r="B45" s="30" t="s">
        <v>78</v>
      </c>
      <c r="C45" s="24">
        <v>1003000</v>
      </c>
      <c r="D45" s="25">
        <v>2510000</v>
      </c>
      <c r="E45" s="25"/>
      <c r="F45" s="17"/>
    </row>
    <row r="46" spans="1:6" ht="19.5" customHeight="1" x14ac:dyDescent="0.25">
      <c r="A46" s="29">
        <v>3</v>
      </c>
      <c r="B46" s="30" t="s">
        <v>79</v>
      </c>
      <c r="C46" s="24"/>
      <c r="D46" s="25"/>
      <c r="E46" s="25"/>
      <c r="F46" s="17"/>
    </row>
    <row r="47" spans="1:6" ht="19.5" customHeight="1" x14ac:dyDescent="0.25">
      <c r="A47" s="29">
        <v>4</v>
      </c>
      <c r="B47" s="30" t="s">
        <v>80</v>
      </c>
      <c r="C47" s="24"/>
      <c r="D47" s="25"/>
      <c r="E47" s="25"/>
      <c r="F47" s="17"/>
    </row>
    <row r="48" spans="1:6" ht="19.5" customHeight="1" x14ac:dyDescent="0.25">
      <c r="A48" s="29">
        <v>5</v>
      </c>
      <c r="B48" s="30" t="s">
        <v>81</v>
      </c>
      <c r="C48" s="24">
        <v>1767000</v>
      </c>
      <c r="D48" s="25">
        <v>2399000</v>
      </c>
      <c r="E48" s="25"/>
      <c r="F48" s="17"/>
    </row>
    <row r="49" spans="1:6" ht="19.5" customHeight="1" x14ac:dyDescent="0.25">
      <c r="A49" s="29">
        <v>6</v>
      </c>
      <c r="B49" s="30" t="s">
        <v>82</v>
      </c>
      <c r="C49" s="24">
        <v>1676000</v>
      </c>
      <c r="D49" s="25">
        <v>2510000</v>
      </c>
      <c r="E49" s="25"/>
      <c r="F49" s="17"/>
    </row>
    <row r="50" spans="1:6" ht="19.5" customHeight="1" x14ac:dyDescent="0.25">
      <c r="A50" s="29">
        <v>7</v>
      </c>
      <c r="B50" s="30" t="s">
        <v>83</v>
      </c>
      <c r="C50" s="24"/>
      <c r="D50" s="25"/>
      <c r="E50" s="25"/>
      <c r="F50" s="17"/>
    </row>
    <row r="51" spans="1:6" ht="19.5" customHeight="1" x14ac:dyDescent="0.25">
      <c r="A51" s="29">
        <v>8</v>
      </c>
      <c r="B51" s="30" t="s">
        <v>84</v>
      </c>
      <c r="C51" s="24"/>
      <c r="D51" s="25"/>
      <c r="E51" s="25"/>
      <c r="F51" s="17"/>
    </row>
    <row r="52" spans="1:6" ht="19.5" customHeight="1" x14ac:dyDescent="0.25">
      <c r="A52" s="29">
        <v>9</v>
      </c>
      <c r="B52" s="30" t="s">
        <v>85</v>
      </c>
      <c r="C52" s="24">
        <v>1676000</v>
      </c>
      <c r="D52" s="25">
        <v>2410000</v>
      </c>
      <c r="E52" s="25">
        <v>2610000</v>
      </c>
      <c r="F52" s="17"/>
    </row>
    <row r="53" spans="1:6" ht="19.5" customHeight="1" x14ac:dyDescent="0.25">
      <c r="A53" s="29">
        <v>10</v>
      </c>
      <c r="B53" s="30" t="s">
        <v>86</v>
      </c>
      <c r="C53" s="24">
        <v>1676000</v>
      </c>
      <c r="D53" s="25">
        <v>2510000</v>
      </c>
      <c r="E53" s="25"/>
      <c r="F53" s="17"/>
    </row>
    <row r="54" spans="1:6" ht="19.5" customHeight="1" x14ac:dyDescent="0.25">
      <c r="A54" s="29">
        <v>11</v>
      </c>
      <c r="B54" s="30" t="s">
        <v>87</v>
      </c>
      <c r="C54" s="24"/>
      <c r="D54" s="25"/>
      <c r="E54" s="25"/>
      <c r="F54" s="17"/>
    </row>
    <row r="55" spans="1:6" ht="19.5" customHeight="1" x14ac:dyDescent="0.25">
      <c r="A55" s="29">
        <v>12</v>
      </c>
      <c r="B55" s="30" t="s">
        <v>88</v>
      </c>
      <c r="C55" s="24"/>
      <c r="D55" s="25"/>
      <c r="E55" s="25"/>
      <c r="F55" s="17"/>
    </row>
    <row r="56" spans="1:6" ht="19.5" customHeight="1" x14ac:dyDescent="0.25">
      <c r="A56" s="29">
        <v>13</v>
      </c>
      <c r="B56" s="30" t="s">
        <v>89</v>
      </c>
      <c r="C56" s="24"/>
      <c r="D56" s="25"/>
      <c r="E56" s="25"/>
      <c r="F56" s="17"/>
    </row>
    <row r="57" spans="1:6" ht="27" customHeight="1" x14ac:dyDescent="0.25">
      <c r="A57" s="643" t="s">
        <v>90</v>
      </c>
      <c r="B57" s="644"/>
      <c r="C57" s="26">
        <f>C43+C23+C12+C4</f>
        <v>65517000</v>
      </c>
      <c r="D57" s="26">
        <f>D43+D23+D12+D4</f>
        <v>88119000</v>
      </c>
      <c r="E57" s="26">
        <f>E43+E23+E12+E4</f>
        <v>14118000</v>
      </c>
      <c r="F57" s="19"/>
    </row>
  </sheetData>
  <mergeCells count="5">
    <mergeCell ref="A1:F1"/>
    <mergeCell ref="A57:B57"/>
    <mergeCell ref="A2:A3"/>
    <mergeCell ref="B2:B3"/>
    <mergeCell ref="F2:F3"/>
  </mergeCells>
  <pageMargins left="0.70866141732283472" right="0.51181102362204722" top="0.74803149606299213" bottom="0.55118110236220474"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88"/>
  <sheetViews>
    <sheetView view="pageBreakPreview" topLeftCell="A32" zoomScale="170" zoomScaleNormal="100" zoomScaleSheetLayoutView="170" workbookViewId="0">
      <selection activeCell="J38" sqref="J38"/>
    </sheetView>
  </sheetViews>
  <sheetFormatPr defaultColWidth="9.140625" defaultRowHeight="15.75" x14ac:dyDescent="0.25"/>
  <cols>
    <col min="1" max="1" width="26.42578125" style="80" customWidth="1"/>
    <col min="2" max="3" width="11" style="660" customWidth="1"/>
    <col min="4" max="4" width="11.42578125" style="660" customWidth="1"/>
    <col min="5" max="5" width="11.7109375" style="80" customWidth="1"/>
    <col min="6" max="6" width="12.85546875" style="80" customWidth="1"/>
    <col min="7" max="12" width="11.7109375" style="80" customWidth="1"/>
    <col min="13" max="13" width="9.85546875" style="80" bestFit="1" customWidth="1"/>
    <col min="14" max="14" width="11.42578125" style="80" bestFit="1" customWidth="1"/>
    <col min="15" max="16384" width="9.140625" style="80"/>
  </cols>
  <sheetData>
    <row r="1" spans="1:18" s="81" customFormat="1" x14ac:dyDescent="0.25">
      <c r="B1" s="647" t="s">
        <v>141</v>
      </c>
      <c r="C1" s="647"/>
      <c r="D1" s="648"/>
      <c r="E1" s="123"/>
    </row>
    <row r="2" spans="1:18" s="81" customFormat="1" x14ac:dyDescent="0.25">
      <c r="A2" s="81" t="s">
        <v>142</v>
      </c>
      <c r="B2" s="647"/>
      <c r="C2" s="647"/>
      <c r="D2" s="648"/>
      <c r="E2" s="123"/>
    </row>
    <row r="3" spans="1:18" s="81" customFormat="1" x14ac:dyDescent="0.25">
      <c r="B3" s="647"/>
      <c r="C3" s="647"/>
      <c r="D3" s="648"/>
      <c r="E3" s="123"/>
    </row>
    <row r="4" spans="1:18" s="81" customFormat="1" ht="19.5" customHeight="1" x14ac:dyDescent="0.25">
      <c r="A4" s="570" t="s">
        <v>143</v>
      </c>
      <c r="B4" s="570"/>
      <c r="C4" s="570"/>
      <c r="D4" s="570"/>
      <c r="E4" s="570"/>
      <c r="F4" s="570"/>
      <c r="G4" s="570"/>
      <c r="H4" s="570"/>
      <c r="K4" s="124"/>
      <c r="L4" s="124"/>
      <c r="M4" s="124"/>
      <c r="N4" s="124"/>
      <c r="O4" s="124"/>
      <c r="P4" s="124"/>
      <c r="Q4" s="124"/>
      <c r="R4" s="124"/>
    </row>
    <row r="5" spans="1:18" s="81" customFormat="1" ht="20.25" customHeight="1" x14ac:dyDescent="0.25">
      <c r="B5" s="647"/>
      <c r="C5" s="647"/>
      <c r="D5" s="647"/>
      <c r="J5" s="125" t="s">
        <v>179</v>
      </c>
      <c r="K5" s="124"/>
      <c r="L5" s="124">
        <v>234000</v>
      </c>
      <c r="M5" s="81" t="s">
        <v>135</v>
      </c>
      <c r="N5" s="124"/>
      <c r="O5" s="124"/>
      <c r="P5" s="124"/>
      <c r="Q5" s="124"/>
      <c r="R5" s="124"/>
    </row>
    <row r="6" spans="1:18" s="81" customFormat="1" ht="19.5" customHeight="1" x14ac:dyDescent="0.25">
      <c r="B6" s="647"/>
      <c r="C6" s="647"/>
      <c r="D6" s="647"/>
      <c r="F6" s="123"/>
      <c r="J6" s="571" t="s">
        <v>144</v>
      </c>
      <c r="K6" s="571"/>
      <c r="L6" s="124"/>
      <c r="M6" s="124"/>
      <c r="N6" s="124"/>
      <c r="O6" s="124"/>
      <c r="P6" s="124"/>
      <c r="Q6" s="124"/>
      <c r="R6" s="124"/>
    </row>
    <row r="7" spans="1:18" s="81" customFormat="1" x14ac:dyDescent="0.25">
      <c r="A7" s="572" t="s">
        <v>145</v>
      </c>
      <c r="B7" s="539" t="s">
        <v>1</v>
      </c>
      <c r="C7" s="539" t="s">
        <v>2</v>
      </c>
      <c r="D7" s="539" t="s">
        <v>3</v>
      </c>
      <c r="E7" s="83" t="s">
        <v>4</v>
      </c>
      <c r="F7" s="541" t="s">
        <v>5</v>
      </c>
      <c r="G7" s="539" t="s">
        <v>125</v>
      </c>
      <c r="H7" s="539" t="s">
        <v>126</v>
      </c>
      <c r="I7" s="539" t="s">
        <v>127</v>
      </c>
      <c r="J7" s="539" t="s">
        <v>146</v>
      </c>
      <c r="K7" s="539" t="s">
        <v>147</v>
      </c>
      <c r="L7" s="567" t="s">
        <v>6</v>
      </c>
      <c r="M7" s="124"/>
      <c r="N7" s="124"/>
      <c r="O7" s="124"/>
      <c r="P7" s="124"/>
      <c r="Q7" s="124"/>
      <c r="R7" s="124"/>
    </row>
    <row r="8" spans="1:18" s="81" customFormat="1" x14ac:dyDescent="0.25">
      <c r="A8" s="573"/>
      <c r="B8" s="649">
        <v>1.28</v>
      </c>
      <c r="C8" s="649">
        <f>B8*1.3</f>
        <v>1.6640000000000001</v>
      </c>
      <c r="D8" s="649">
        <f t="shared" ref="D8:F8" si="0">C8*1.3</f>
        <v>2.1632000000000002</v>
      </c>
      <c r="E8" s="161">
        <f t="shared" si="0"/>
        <v>2.8121600000000004</v>
      </c>
      <c r="F8" s="161">
        <f t="shared" si="0"/>
        <v>3.6558080000000008</v>
      </c>
      <c r="G8" s="161">
        <f t="shared" ref="G8:K8" si="1">F8*1.4</f>
        <v>5.1181312000000005</v>
      </c>
      <c r="H8" s="161">
        <f t="shared" ref="H8" si="2">G8*1.4</f>
        <v>7.1653836800000006</v>
      </c>
      <c r="I8" s="161">
        <f t="shared" ref="I8" si="3">H8*1.4</f>
        <v>10.031537152</v>
      </c>
      <c r="J8" s="540">
        <f t="shared" ref="J8" si="4">I8*1.4</f>
        <v>14.0441520128</v>
      </c>
      <c r="K8" s="540">
        <f t="shared" si="1"/>
        <v>19.661812817919998</v>
      </c>
      <c r="L8" s="567"/>
      <c r="M8" s="124"/>
      <c r="N8" s="124"/>
      <c r="O8" s="124"/>
      <c r="P8" s="124"/>
      <c r="Q8" s="124"/>
      <c r="R8" s="124"/>
    </row>
    <row r="9" spans="1:18" s="81" customFormat="1" ht="21.75" customHeight="1" x14ac:dyDescent="0.25">
      <c r="A9" s="468" t="s">
        <v>148</v>
      </c>
      <c r="B9" s="650"/>
      <c r="C9" s="650"/>
      <c r="D9" s="650"/>
      <c r="E9" s="130"/>
      <c r="F9" s="130"/>
      <c r="G9" s="130"/>
      <c r="H9" s="130"/>
      <c r="I9" s="130"/>
      <c r="K9" s="141"/>
      <c r="L9" s="375"/>
      <c r="M9" s="124"/>
      <c r="N9" s="124"/>
      <c r="O9" s="124"/>
      <c r="P9" s="124"/>
      <c r="Q9" s="124"/>
      <c r="R9" s="124"/>
    </row>
    <row r="10" spans="1:18" ht="21.75" customHeight="1" x14ac:dyDescent="0.25">
      <c r="A10" s="131" t="s">
        <v>149</v>
      </c>
      <c r="B10" s="163">
        <f>ROUNDDOWN(B13*$L$10,-3)</f>
        <v>58000</v>
      </c>
      <c r="C10" s="163">
        <f t="shared" ref="C10:J10" si="5">ROUNDDOWN(C13*$L$10,-3)</f>
        <v>75000</v>
      </c>
      <c r="D10" s="163">
        <f t="shared" si="5"/>
        <v>98000</v>
      </c>
      <c r="E10" s="132">
        <f t="shared" si="5"/>
        <v>128000</v>
      </c>
      <c r="F10" s="132">
        <f t="shared" si="5"/>
        <v>166000</v>
      </c>
      <c r="G10" s="132">
        <f t="shared" si="5"/>
        <v>233000</v>
      </c>
      <c r="H10" s="132">
        <f t="shared" si="5"/>
        <v>326000</v>
      </c>
      <c r="I10" s="132">
        <f t="shared" si="5"/>
        <v>457000</v>
      </c>
      <c r="J10" s="132">
        <f t="shared" si="5"/>
        <v>640000</v>
      </c>
      <c r="K10" s="132">
        <f t="shared" ref="K10" si="6">ROUNDDOWN(K13*$L$10,-3)</f>
        <v>897000</v>
      </c>
      <c r="L10" s="376">
        <f>30%-(30%*35%)</f>
        <v>0.19500000000000001</v>
      </c>
      <c r="M10" s="133"/>
      <c r="N10" s="133"/>
      <c r="O10" s="133"/>
      <c r="P10" s="133"/>
      <c r="Q10" s="133"/>
      <c r="R10" s="133"/>
    </row>
    <row r="11" spans="1:18" ht="21.75" customHeight="1" x14ac:dyDescent="0.25">
      <c r="A11" s="131" t="s">
        <v>150</v>
      </c>
      <c r="B11" s="163">
        <f t="shared" ref="B11:I11" si="7">ROUNDDOWN(B13*$L$11,-3)</f>
        <v>38000</v>
      </c>
      <c r="C11" s="163">
        <f t="shared" si="7"/>
        <v>50000</v>
      </c>
      <c r="D11" s="163">
        <f t="shared" si="7"/>
        <v>65000</v>
      </c>
      <c r="E11" s="132">
        <f t="shared" si="7"/>
        <v>85000</v>
      </c>
      <c r="F11" s="132">
        <f t="shared" si="7"/>
        <v>111000</v>
      </c>
      <c r="G11" s="132">
        <f t="shared" si="7"/>
        <v>155000</v>
      </c>
      <c r="H11" s="132">
        <f t="shared" si="7"/>
        <v>217000</v>
      </c>
      <c r="I11" s="132">
        <f t="shared" si="7"/>
        <v>305000</v>
      </c>
      <c r="J11" s="132">
        <f t="shared" ref="J11:K11" si="8">ROUNDDOWN(J13*$L$11,-3)</f>
        <v>427000</v>
      </c>
      <c r="K11" s="132">
        <f t="shared" si="8"/>
        <v>598000</v>
      </c>
      <c r="L11" s="376">
        <f>20%-(20%*35%)</f>
        <v>0.13</v>
      </c>
      <c r="M11" s="133"/>
      <c r="N11" s="133"/>
      <c r="O11" s="133"/>
      <c r="P11" s="133"/>
      <c r="Q11" s="133"/>
      <c r="R11" s="133"/>
    </row>
    <row r="12" spans="1:18" ht="21.75" customHeight="1" x14ac:dyDescent="0.25">
      <c r="A12" s="131" t="s">
        <v>16</v>
      </c>
      <c r="B12" s="163">
        <f>ROUNDDOWN(B13*$L$12,-3)</f>
        <v>38000</v>
      </c>
      <c r="C12" s="163">
        <f t="shared" ref="C12:I12" si="9">ROUNDDOWN(C13*$L$12,-3)</f>
        <v>50000</v>
      </c>
      <c r="D12" s="163">
        <f t="shared" si="9"/>
        <v>65000</v>
      </c>
      <c r="E12" s="132">
        <f t="shared" si="9"/>
        <v>85000</v>
      </c>
      <c r="F12" s="132">
        <f t="shared" si="9"/>
        <v>111000</v>
      </c>
      <c r="G12" s="132">
        <f t="shared" si="9"/>
        <v>155000</v>
      </c>
      <c r="H12" s="132">
        <f t="shared" si="9"/>
        <v>217000</v>
      </c>
      <c r="I12" s="132">
        <f t="shared" si="9"/>
        <v>305000</v>
      </c>
      <c r="J12" s="132">
        <f t="shared" ref="J12" si="10">ROUNDDOWN(J13*$L$12,-3)</f>
        <v>427000</v>
      </c>
      <c r="K12" s="132">
        <f>ROUNDDOWN(K13*$L$12,-3)</f>
        <v>598000</v>
      </c>
      <c r="L12" s="376">
        <f>20%-(20%*35%)</f>
        <v>0.13</v>
      </c>
      <c r="M12" s="133"/>
      <c r="N12" s="133"/>
      <c r="O12" s="133"/>
      <c r="P12" s="133"/>
      <c r="Q12" s="133"/>
      <c r="R12" s="133"/>
    </row>
    <row r="13" spans="1:18" ht="21.75" customHeight="1" x14ac:dyDescent="0.25">
      <c r="A13" s="134" t="s">
        <v>128</v>
      </c>
      <c r="B13" s="163">
        <f>ROUNDDOWN(L5*B8,-3)</f>
        <v>299000</v>
      </c>
      <c r="C13" s="163">
        <f t="shared" ref="C13:I13" si="11">ROUNDDOWN($L$5*C8,-3)</f>
        <v>389000</v>
      </c>
      <c r="D13" s="163">
        <f t="shared" si="11"/>
        <v>506000</v>
      </c>
      <c r="E13" s="163">
        <f t="shared" si="11"/>
        <v>658000</v>
      </c>
      <c r="F13" s="163">
        <f t="shared" si="11"/>
        <v>855000</v>
      </c>
      <c r="G13" s="163">
        <f t="shared" si="11"/>
        <v>1197000</v>
      </c>
      <c r="H13" s="163">
        <f t="shared" si="11"/>
        <v>1676000</v>
      </c>
      <c r="I13" s="163">
        <f t="shared" si="11"/>
        <v>2347000</v>
      </c>
      <c r="J13" s="163">
        <f t="shared" ref="J13:K13" si="12">ROUNDDOWN($L$5*J8,-3)</f>
        <v>3286000</v>
      </c>
      <c r="K13" s="163">
        <f t="shared" si="12"/>
        <v>4600000</v>
      </c>
      <c r="L13" s="377">
        <v>1</v>
      </c>
      <c r="M13" s="135"/>
      <c r="N13" s="135"/>
      <c r="O13" s="135"/>
      <c r="P13" s="135"/>
      <c r="Q13" s="135"/>
      <c r="R13" s="135"/>
    </row>
    <row r="14" spans="1:18" ht="21.75" customHeight="1" x14ac:dyDescent="0.25">
      <c r="A14" s="134" t="s">
        <v>12</v>
      </c>
      <c r="B14" s="163">
        <f t="shared" ref="B14:I14" si="13">ROUNDDOWN(B13*$L$14,-3)</f>
        <v>29000</v>
      </c>
      <c r="C14" s="163">
        <f t="shared" si="13"/>
        <v>38000</v>
      </c>
      <c r="D14" s="163">
        <f t="shared" si="13"/>
        <v>50000</v>
      </c>
      <c r="E14" s="132">
        <f t="shared" si="13"/>
        <v>65000</v>
      </c>
      <c r="F14" s="132">
        <f t="shared" si="13"/>
        <v>85000</v>
      </c>
      <c r="G14" s="132">
        <f t="shared" si="13"/>
        <v>119000</v>
      </c>
      <c r="H14" s="132">
        <f t="shared" si="13"/>
        <v>167000</v>
      </c>
      <c r="I14" s="132">
        <f t="shared" si="13"/>
        <v>234000</v>
      </c>
      <c r="J14" s="132">
        <f t="shared" ref="J14:K14" si="14">ROUNDDOWN(J13*$L$14,-3)</f>
        <v>328000</v>
      </c>
      <c r="K14" s="132">
        <f t="shared" si="14"/>
        <v>460000</v>
      </c>
      <c r="L14" s="376">
        <v>0.1</v>
      </c>
      <c r="M14" s="133"/>
      <c r="N14" s="133"/>
      <c r="O14" s="133"/>
      <c r="P14" s="133"/>
      <c r="Q14" s="133"/>
      <c r="R14" s="133"/>
    </row>
    <row r="15" spans="1:18" ht="21.75" customHeight="1" x14ac:dyDescent="0.25">
      <c r="A15" s="131" t="s">
        <v>151</v>
      </c>
      <c r="B15" s="163">
        <f t="shared" ref="B15:I15" si="15">ROUNDDOWN(B13*$L$15,-3)</f>
        <v>209000</v>
      </c>
      <c r="C15" s="163">
        <f t="shared" si="15"/>
        <v>272000</v>
      </c>
      <c r="D15" s="163">
        <f t="shared" si="15"/>
        <v>354000</v>
      </c>
      <c r="E15" s="132">
        <f t="shared" si="15"/>
        <v>460000</v>
      </c>
      <c r="F15" s="132">
        <f t="shared" si="15"/>
        <v>598000</v>
      </c>
      <c r="G15" s="132">
        <f t="shared" si="15"/>
        <v>837000</v>
      </c>
      <c r="H15" s="132">
        <f t="shared" si="15"/>
        <v>1173000</v>
      </c>
      <c r="I15" s="132">
        <f t="shared" si="15"/>
        <v>1642000</v>
      </c>
      <c r="J15" s="132">
        <f t="shared" ref="J15:K15" si="16">ROUNDDOWN(J13*$L$15,-3)</f>
        <v>2300000</v>
      </c>
      <c r="K15" s="132">
        <f t="shared" si="16"/>
        <v>3220000</v>
      </c>
      <c r="L15" s="376">
        <v>0.7</v>
      </c>
      <c r="M15" s="133"/>
      <c r="N15" s="133"/>
      <c r="O15" s="133"/>
      <c r="P15" s="133"/>
      <c r="Q15" s="133"/>
      <c r="R15" s="133"/>
    </row>
    <row r="16" spans="1:18" ht="21.75" customHeight="1" x14ac:dyDescent="0.25">
      <c r="A16" s="134" t="s">
        <v>26</v>
      </c>
      <c r="B16" s="163">
        <f t="shared" ref="B16:I16" si="17">ROUNDDOWN(B13*$L$16,-3)</f>
        <v>29000</v>
      </c>
      <c r="C16" s="163">
        <f t="shared" si="17"/>
        <v>38000</v>
      </c>
      <c r="D16" s="163">
        <f t="shared" si="17"/>
        <v>50000</v>
      </c>
      <c r="E16" s="132">
        <f t="shared" si="17"/>
        <v>65000</v>
      </c>
      <c r="F16" s="132">
        <f t="shared" si="17"/>
        <v>85000</v>
      </c>
      <c r="G16" s="132">
        <f t="shared" si="17"/>
        <v>119000</v>
      </c>
      <c r="H16" s="132">
        <f t="shared" si="17"/>
        <v>167000</v>
      </c>
      <c r="I16" s="132">
        <f t="shared" si="17"/>
        <v>234000</v>
      </c>
      <c r="J16" s="132">
        <f t="shared" ref="J16:K16" si="18">ROUNDDOWN(J13*$L$16,-3)</f>
        <v>328000</v>
      </c>
      <c r="K16" s="132">
        <f t="shared" si="18"/>
        <v>460000</v>
      </c>
      <c r="L16" s="376">
        <v>0.1</v>
      </c>
      <c r="M16" s="133"/>
      <c r="N16" s="133"/>
      <c r="O16" s="133"/>
      <c r="P16" s="133"/>
      <c r="Q16" s="133"/>
      <c r="R16" s="133"/>
    </row>
    <row r="17" spans="1:18" ht="21.75" customHeight="1" x14ac:dyDescent="0.25">
      <c r="A17" s="134" t="s">
        <v>152</v>
      </c>
      <c r="B17" s="163">
        <f t="shared" ref="B17:I17" si="19">ROUNDDOWN(B13*$L$17,-3)</f>
        <v>104000</v>
      </c>
      <c r="C17" s="163">
        <f t="shared" si="19"/>
        <v>136000</v>
      </c>
      <c r="D17" s="163">
        <f t="shared" si="19"/>
        <v>177000</v>
      </c>
      <c r="E17" s="132">
        <f t="shared" si="19"/>
        <v>230000</v>
      </c>
      <c r="F17" s="132">
        <f t="shared" si="19"/>
        <v>299000</v>
      </c>
      <c r="G17" s="132">
        <f t="shared" si="19"/>
        <v>418000</v>
      </c>
      <c r="H17" s="132">
        <f t="shared" si="19"/>
        <v>586000</v>
      </c>
      <c r="I17" s="132">
        <f t="shared" si="19"/>
        <v>821000</v>
      </c>
      <c r="J17" s="132">
        <f t="shared" ref="J17:K17" si="20">ROUNDDOWN(J13*$L$17,-3)</f>
        <v>1150000</v>
      </c>
      <c r="K17" s="132">
        <f t="shared" si="20"/>
        <v>1610000</v>
      </c>
      <c r="L17" s="377">
        <v>0.35</v>
      </c>
      <c r="M17" s="135"/>
      <c r="N17" s="135"/>
      <c r="O17" s="135"/>
      <c r="P17" s="135"/>
      <c r="Q17" s="135"/>
      <c r="R17" s="135"/>
    </row>
    <row r="18" spans="1:18" ht="21.75" customHeight="1" x14ac:dyDescent="0.25">
      <c r="A18" s="134" t="s">
        <v>153</v>
      </c>
      <c r="B18" s="163">
        <f t="shared" ref="B18:I18" si="21">ROUNDDOWN(B13*$L$18,-3)</f>
        <v>14000</v>
      </c>
      <c r="C18" s="163">
        <f t="shared" si="21"/>
        <v>19000</v>
      </c>
      <c r="D18" s="163">
        <f t="shared" si="21"/>
        <v>25000</v>
      </c>
      <c r="E18" s="132">
        <f t="shared" si="21"/>
        <v>32000</v>
      </c>
      <c r="F18" s="132">
        <f t="shared" si="21"/>
        <v>42000</v>
      </c>
      <c r="G18" s="132">
        <f t="shared" si="21"/>
        <v>59000</v>
      </c>
      <c r="H18" s="132">
        <f t="shared" si="21"/>
        <v>83000</v>
      </c>
      <c r="I18" s="132">
        <f t="shared" si="21"/>
        <v>117000</v>
      </c>
      <c r="J18" s="132">
        <f t="shared" ref="J18:K18" si="22">ROUNDDOWN(J13*$L$18,-3)</f>
        <v>164000</v>
      </c>
      <c r="K18" s="132">
        <f t="shared" si="22"/>
        <v>230000</v>
      </c>
      <c r="L18" s="376">
        <v>0.05</v>
      </c>
      <c r="M18" s="133"/>
      <c r="N18" s="133"/>
      <c r="O18" s="133"/>
      <c r="P18" s="133"/>
      <c r="Q18" s="133"/>
      <c r="R18" s="133"/>
    </row>
    <row r="19" spans="1:18" ht="21.75" customHeight="1" x14ac:dyDescent="0.25">
      <c r="A19" s="134" t="s">
        <v>154</v>
      </c>
      <c r="B19" s="163">
        <f t="shared" ref="B19:I19" si="23">ROUNDDOWN(B13*$L$19,-3)</f>
        <v>74000</v>
      </c>
      <c r="C19" s="163">
        <f t="shared" si="23"/>
        <v>97000</v>
      </c>
      <c r="D19" s="163">
        <f t="shared" si="23"/>
        <v>126000</v>
      </c>
      <c r="E19" s="132">
        <f t="shared" si="23"/>
        <v>164000</v>
      </c>
      <c r="F19" s="132">
        <f t="shared" si="23"/>
        <v>213000</v>
      </c>
      <c r="G19" s="132">
        <f t="shared" si="23"/>
        <v>299000</v>
      </c>
      <c r="H19" s="132">
        <f t="shared" si="23"/>
        <v>419000</v>
      </c>
      <c r="I19" s="132">
        <f t="shared" si="23"/>
        <v>586000</v>
      </c>
      <c r="J19" s="132">
        <f t="shared" ref="J19:K19" si="24">ROUNDDOWN(J13*$L$19,-3)</f>
        <v>821000</v>
      </c>
      <c r="K19" s="132">
        <f t="shared" si="24"/>
        <v>1150000</v>
      </c>
      <c r="L19" s="376">
        <v>0.25</v>
      </c>
      <c r="M19" s="133"/>
      <c r="N19" s="133"/>
      <c r="O19" s="133"/>
      <c r="P19" s="133"/>
      <c r="Q19" s="133"/>
      <c r="R19" s="133"/>
    </row>
    <row r="20" spans="1:18" s="125" customFormat="1" ht="19.5" customHeight="1" x14ac:dyDescent="0.25">
      <c r="A20" s="136" t="s">
        <v>138</v>
      </c>
      <c r="B20" s="651">
        <f t="shared" ref="B20:I20" si="25">SUM(B10:B19)</f>
        <v>892000</v>
      </c>
      <c r="C20" s="651">
        <f t="shared" si="25"/>
        <v>1164000</v>
      </c>
      <c r="D20" s="651">
        <f t="shared" si="25"/>
        <v>1516000</v>
      </c>
      <c r="E20" s="137">
        <f t="shared" si="25"/>
        <v>1972000</v>
      </c>
      <c r="F20" s="137">
        <f t="shared" si="25"/>
        <v>2565000</v>
      </c>
      <c r="G20" s="137">
        <f t="shared" si="25"/>
        <v>3591000</v>
      </c>
      <c r="H20" s="137">
        <f t="shared" si="25"/>
        <v>5031000</v>
      </c>
      <c r="I20" s="137">
        <f t="shared" si="25"/>
        <v>7048000</v>
      </c>
      <c r="J20" s="137">
        <f t="shared" ref="J20:K20" si="26">SUM(J10:J19)</f>
        <v>9871000</v>
      </c>
      <c r="K20" s="137">
        <f t="shared" si="26"/>
        <v>13823000</v>
      </c>
      <c r="L20" s="138"/>
      <c r="M20" s="139"/>
      <c r="N20" s="139"/>
      <c r="O20" s="139"/>
      <c r="P20" s="139"/>
      <c r="Q20" s="139"/>
      <c r="R20" s="139"/>
    </row>
    <row r="21" spans="1:18" s="81" customFormat="1" x14ac:dyDescent="0.25">
      <c r="A21" s="140"/>
      <c r="B21" s="652"/>
      <c r="C21" s="652"/>
      <c r="D21" s="652"/>
      <c r="E21" s="141"/>
      <c r="F21" s="141"/>
      <c r="G21" s="141"/>
      <c r="H21" s="141"/>
      <c r="I21" s="141"/>
      <c r="K21" s="142"/>
      <c r="L21" s="143"/>
      <c r="M21" s="124"/>
      <c r="N21" s="124"/>
      <c r="O21" s="124"/>
      <c r="P21" s="124"/>
      <c r="Q21" s="124"/>
      <c r="R21" s="124"/>
    </row>
    <row r="22" spans="1:18" s="81" customFormat="1" x14ac:dyDescent="0.25">
      <c r="B22" s="647"/>
      <c r="C22" s="647"/>
      <c r="D22" s="647"/>
      <c r="K22" s="124"/>
      <c r="L22" s="124"/>
      <c r="M22" s="124"/>
      <c r="N22" s="124"/>
      <c r="O22" s="124"/>
      <c r="P22" s="124"/>
      <c r="Q22" s="124"/>
      <c r="R22" s="124"/>
    </row>
    <row r="23" spans="1:18" s="81" customFormat="1" x14ac:dyDescent="0.25">
      <c r="B23" s="647"/>
      <c r="C23" s="647"/>
      <c r="D23" s="647"/>
      <c r="K23" s="124"/>
      <c r="L23" s="124"/>
      <c r="M23" s="124"/>
      <c r="N23" s="124"/>
      <c r="O23" s="124"/>
      <c r="P23" s="124"/>
      <c r="Q23" s="124"/>
      <c r="R23" s="124"/>
    </row>
    <row r="24" spans="1:18" s="81" customFormat="1" x14ac:dyDescent="0.25">
      <c r="B24" s="647"/>
      <c r="C24" s="647"/>
      <c r="D24" s="647"/>
      <c r="K24" s="124"/>
      <c r="L24" s="124"/>
      <c r="M24" s="124"/>
      <c r="N24" s="124"/>
      <c r="O24" s="124"/>
      <c r="P24" s="124"/>
      <c r="Q24" s="124"/>
      <c r="R24" s="124"/>
    </row>
    <row r="25" spans="1:18" s="81" customFormat="1" x14ac:dyDescent="0.25">
      <c r="B25" s="647"/>
      <c r="C25" s="647"/>
      <c r="D25" s="647"/>
      <c r="K25" s="124"/>
      <c r="L25" s="124"/>
      <c r="M25" s="124"/>
      <c r="N25" s="124"/>
      <c r="O25" s="124"/>
      <c r="P25" s="124"/>
      <c r="Q25" s="124"/>
      <c r="R25" s="124"/>
    </row>
    <row r="26" spans="1:18" s="81" customFormat="1" x14ac:dyDescent="0.25">
      <c r="B26" s="647"/>
      <c r="C26" s="647"/>
      <c r="D26" s="647"/>
      <c r="K26" s="124"/>
      <c r="L26" s="124"/>
      <c r="M26" s="124"/>
      <c r="N26" s="124"/>
      <c r="O26" s="124"/>
      <c r="P26" s="124"/>
      <c r="Q26" s="124"/>
      <c r="R26" s="124"/>
    </row>
    <row r="27" spans="1:18" s="81" customFormat="1" x14ac:dyDescent="0.25">
      <c r="B27" s="647"/>
      <c r="C27" s="647"/>
      <c r="D27" s="647"/>
      <c r="K27" s="124"/>
      <c r="L27" s="124"/>
      <c r="M27" s="124"/>
      <c r="N27" s="124"/>
      <c r="O27" s="124"/>
      <c r="P27" s="124"/>
      <c r="Q27" s="124"/>
      <c r="R27" s="124"/>
    </row>
    <row r="28" spans="1:18" s="81" customFormat="1" x14ac:dyDescent="0.25">
      <c r="B28" s="647"/>
      <c r="C28" s="647"/>
      <c r="D28" s="647"/>
      <c r="K28" s="124"/>
      <c r="L28" s="124"/>
      <c r="M28" s="124"/>
      <c r="N28" s="124"/>
      <c r="O28" s="124"/>
      <c r="P28" s="124"/>
      <c r="Q28" s="124"/>
      <c r="R28" s="124"/>
    </row>
    <row r="29" spans="1:18" s="81" customFormat="1" x14ac:dyDescent="0.25">
      <c r="B29" s="647"/>
      <c r="C29" s="647"/>
      <c r="D29" s="647"/>
      <c r="K29" s="124"/>
      <c r="L29" s="124"/>
      <c r="M29" s="124"/>
      <c r="N29" s="124"/>
      <c r="O29" s="124"/>
      <c r="P29" s="124"/>
      <c r="Q29" s="124"/>
      <c r="R29" s="124"/>
    </row>
    <row r="30" spans="1:18" s="81" customFormat="1" x14ac:dyDescent="0.25">
      <c r="A30" s="145" t="s">
        <v>155</v>
      </c>
      <c r="B30" s="647"/>
      <c r="C30" s="647"/>
      <c r="D30" s="647"/>
      <c r="F30" s="123"/>
      <c r="G30" s="81" t="s">
        <v>378</v>
      </c>
      <c r="K30" s="124"/>
      <c r="L30" s="124"/>
      <c r="M30" s="124"/>
      <c r="N30" s="124"/>
      <c r="O30" s="124"/>
      <c r="P30" s="124"/>
      <c r="Q30" s="124"/>
      <c r="R30" s="124"/>
    </row>
    <row r="31" spans="1:18" s="81" customFormat="1" x14ac:dyDescent="0.25">
      <c r="A31" s="145"/>
      <c r="B31" s="647"/>
      <c r="C31" s="647"/>
      <c r="D31" s="647"/>
      <c r="F31" s="123"/>
      <c r="K31" s="81" t="s">
        <v>179</v>
      </c>
      <c r="M31" s="124">
        <v>234000</v>
      </c>
      <c r="N31" s="81" t="s">
        <v>135</v>
      </c>
      <c r="O31" s="124"/>
      <c r="P31" s="124"/>
      <c r="Q31" s="124"/>
      <c r="R31" s="124"/>
    </row>
    <row r="32" spans="1:18" s="81" customFormat="1" x14ac:dyDescent="0.25">
      <c r="A32" s="145"/>
      <c r="B32" s="647"/>
      <c r="C32" s="647"/>
      <c r="D32" s="647"/>
      <c r="F32" s="123"/>
      <c r="K32" s="81" t="s">
        <v>144</v>
      </c>
      <c r="M32" s="124"/>
      <c r="N32" s="124"/>
      <c r="O32" s="124"/>
      <c r="P32" s="124"/>
      <c r="Q32" s="124"/>
      <c r="R32" s="124"/>
    </row>
    <row r="33" spans="1:18" s="81" customFormat="1" ht="15" customHeight="1" x14ac:dyDescent="0.25">
      <c r="A33" s="572" t="s">
        <v>0</v>
      </c>
      <c r="B33" s="539" t="s">
        <v>1</v>
      </c>
      <c r="C33" s="539" t="s">
        <v>2</v>
      </c>
      <c r="D33" s="539" t="s">
        <v>3</v>
      </c>
      <c r="E33" s="83" t="s">
        <v>4</v>
      </c>
      <c r="F33" s="539" t="s">
        <v>5</v>
      </c>
      <c r="G33" s="539" t="s">
        <v>125</v>
      </c>
      <c r="H33" s="539" t="s">
        <v>126</v>
      </c>
      <c r="I33" s="568" t="s">
        <v>6</v>
      </c>
      <c r="L33" s="158"/>
      <c r="N33" s="158"/>
      <c r="O33" s="124"/>
      <c r="P33" s="124"/>
      <c r="Q33" s="124"/>
      <c r="R33" s="124"/>
    </row>
    <row r="34" spans="1:18" s="81" customFormat="1" ht="15" customHeight="1" x14ac:dyDescent="0.25">
      <c r="A34" s="573"/>
      <c r="B34" s="653">
        <v>4.0999999999999996</v>
      </c>
      <c r="C34" s="654">
        <f>B34*1.3</f>
        <v>5.33</v>
      </c>
      <c r="D34" s="654">
        <f t="shared" ref="D34:E34" si="27">C34*1.3</f>
        <v>6.9290000000000003</v>
      </c>
      <c r="E34" s="169">
        <f t="shared" si="27"/>
        <v>9.0076999999999998</v>
      </c>
      <c r="F34" s="169">
        <f>E34*1.4</f>
        <v>12.610779999999998</v>
      </c>
      <c r="G34" s="169">
        <f t="shared" ref="G34:H34" si="28">F34*1.4</f>
        <v>17.655091999999996</v>
      </c>
      <c r="H34" s="169">
        <f t="shared" si="28"/>
        <v>24.717128799999994</v>
      </c>
      <c r="I34" s="569"/>
      <c r="L34" s="166"/>
      <c r="N34" s="158"/>
      <c r="O34" s="146"/>
      <c r="P34" s="146"/>
      <c r="Q34" s="146"/>
      <c r="R34" s="146"/>
    </row>
    <row r="35" spans="1:18" s="81" customFormat="1" x14ac:dyDescent="0.25">
      <c r="A35" s="129" t="s">
        <v>400</v>
      </c>
      <c r="B35" s="650"/>
      <c r="C35" s="650"/>
      <c r="D35" s="650"/>
      <c r="E35" s="130"/>
      <c r="F35" s="130"/>
      <c r="G35" s="130"/>
      <c r="H35" s="130"/>
      <c r="I35" s="168"/>
      <c r="L35" s="141"/>
      <c r="N35" s="141"/>
      <c r="O35" s="124"/>
      <c r="P35" s="124"/>
      <c r="Q35" s="124"/>
      <c r="R35" s="124"/>
    </row>
    <row r="36" spans="1:18" s="149" customFormat="1" x14ac:dyDescent="0.25">
      <c r="A36" s="147" t="s">
        <v>149</v>
      </c>
      <c r="B36" s="163">
        <f t="shared" ref="B36:H36" si="29">ROUNDDOWN(B39*$I$36,-3)</f>
        <v>311000</v>
      </c>
      <c r="C36" s="163">
        <f t="shared" si="29"/>
        <v>405000</v>
      </c>
      <c r="D36" s="163">
        <f t="shared" si="29"/>
        <v>526000</v>
      </c>
      <c r="E36" s="132">
        <f t="shared" si="29"/>
        <v>684000</v>
      </c>
      <c r="F36" s="132">
        <f t="shared" si="29"/>
        <v>958000</v>
      </c>
      <c r="G36" s="132">
        <f t="shared" si="29"/>
        <v>1342000</v>
      </c>
      <c r="H36" s="132">
        <f t="shared" si="29"/>
        <v>1879000</v>
      </c>
      <c r="I36" s="173">
        <f>50%-(50%*35%)</f>
        <v>0.32500000000000001</v>
      </c>
      <c r="L36" s="164"/>
      <c r="N36" s="164"/>
      <c r="O36" s="148"/>
      <c r="P36" s="148"/>
      <c r="Q36" s="148"/>
      <c r="R36" s="148"/>
    </row>
    <row r="37" spans="1:18" s="149" customFormat="1" x14ac:dyDescent="0.25">
      <c r="A37" s="147" t="s">
        <v>156</v>
      </c>
      <c r="B37" s="163">
        <f t="shared" ref="B37:H37" si="30">ROUNDDOWN(B39*$I$37,-3)</f>
        <v>249000</v>
      </c>
      <c r="C37" s="163">
        <f t="shared" si="30"/>
        <v>324000</v>
      </c>
      <c r="D37" s="163">
        <f t="shared" si="30"/>
        <v>421000</v>
      </c>
      <c r="E37" s="132">
        <f t="shared" si="30"/>
        <v>547000</v>
      </c>
      <c r="F37" s="132">
        <f t="shared" si="30"/>
        <v>767000</v>
      </c>
      <c r="G37" s="132">
        <f t="shared" si="30"/>
        <v>1074000</v>
      </c>
      <c r="H37" s="132">
        <f t="shared" si="30"/>
        <v>1503000</v>
      </c>
      <c r="I37" s="173">
        <f>40%-(40%*35%)</f>
        <v>0.26</v>
      </c>
      <c r="L37" s="164"/>
      <c r="N37" s="164"/>
      <c r="O37" s="148"/>
      <c r="P37" s="148"/>
      <c r="Q37" s="148"/>
      <c r="R37" s="148"/>
    </row>
    <row r="38" spans="1:18" s="149" customFormat="1" x14ac:dyDescent="0.25">
      <c r="A38" s="147" t="s">
        <v>10</v>
      </c>
      <c r="B38" s="163">
        <f>ROUNDDOWN(B39*$I$38,-3)</f>
        <v>187000</v>
      </c>
      <c r="C38" s="163">
        <f t="shared" ref="C38:H38" si="31">ROUNDDOWN(C39*20%,-3)</f>
        <v>249000</v>
      </c>
      <c r="D38" s="163">
        <f t="shared" si="31"/>
        <v>324000</v>
      </c>
      <c r="E38" s="132">
        <f t="shared" si="31"/>
        <v>421000</v>
      </c>
      <c r="F38" s="132">
        <f t="shared" si="31"/>
        <v>590000</v>
      </c>
      <c r="G38" s="132">
        <f t="shared" si="31"/>
        <v>826000</v>
      </c>
      <c r="H38" s="132">
        <f t="shared" si="31"/>
        <v>1156000</v>
      </c>
      <c r="I38" s="173">
        <f>30%-(30%*35%)</f>
        <v>0.19500000000000001</v>
      </c>
      <c r="L38" s="164"/>
      <c r="N38" s="164"/>
      <c r="O38" s="148"/>
      <c r="P38" s="148"/>
      <c r="Q38" s="148"/>
      <c r="R38" s="148"/>
    </row>
    <row r="39" spans="1:18" s="469" customFormat="1" x14ac:dyDescent="0.25">
      <c r="A39" s="162" t="s">
        <v>157</v>
      </c>
      <c r="B39" s="163">
        <f t="shared" ref="B39:H39" si="32">ROUNDDOWN($M$31*B34,-3)</f>
        <v>959000</v>
      </c>
      <c r="C39" s="163">
        <f t="shared" si="32"/>
        <v>1247000</v>
      </c>
      <c r="D39" s="163">
        <f t="shared" si="32"/>
        <v>1621000</v>
      </c>
      <c r="E39" s="163">
        <f t="shared" si="32"/>
        <v>2107000</v>
      </c>
      <c r="F39" s="163">
        <f t="shared" si="32"/>
        <v>2950000</v>
      </c>
      <c r="G39" s="163">
        <f t="shared" si="32"/>
        <v>4131000</v>
      </c>
      <c r="H39" s="163">
        <f t="shared" si="32"/>
        <v>5783000</v>
      </c>
      <c r="I39" s="167" t="s">
        <v>11</v>
      </c>
      <c r="L39" s="465"/>
      <c r="N39" s="465"/>
      <c r="O39" s="470"/>
      <c r="P39" s="470"/>
      <c r="Q39" s="470"/>
      <c r="R39" s="470"/>
    </row>
    <row r="40" spans="1:18" s="149" customFormat="1" x14ac:dyDescent="0.25">
      <c r="A40" s="150" t="s">
        <v>158</v>
      </c>
      <c r="B40" s="163">
        <f t="shared" ref="B40:H40" si="33">ROUNDDOWN(B39*$I$40,-3)</f>
        <v>95000</v>
      </c>
      <c r="C40" s="163">
        <f t="shared" si="33"/>
        <v>124000</v>
      </c>
      <c r="D40" s="163">
        <f t="shared" si="33"/>
        <v>162000</v>
      </c>
      <c r="E40" s="132">
        <f t="shared" si="33"/>
        <v>210000</v>
      </c>
      <c r="F40" s="132">
        <f t="shared" si="33"/>
        <v>295000</v>
      </c>
      <c r="G40" s="132">
        <f t="shared" si="33"/>
        <v>413000</v>
      </c>
      <c r="H40" s="132">
        <f t="shared" si="33"/>
        <v>578000</v>
      </c>
      <c r="I40" s="173">
        <v>0.1</v>
      </c>
      <c r="L40" s="164"/>
      <c r="N40" s="164"/>
      <c r="O40" s="148"/>
      <c r="P40" s="148"/>
      <c r="Q40" s="148"/>
      <c r="R40" s="148"/>
    </row>
    <row r="41" spans="1:18" s="149" customFormat="1" x14ac:dyDescent="0.25">
      <c r="A41" s="150" t="s">
        <v>159</v>
      </c>
      <c r="B41" s="163">
        <f t="shared" ref="B41:H41" si="34">ROUNDDOWN(B39*$I$41,-3)</f>
        <v>191000</v>
      </c>
      <c r="C41" s="163">
        <f t="shared" si="34"/>
        <v>249000</v>
      </c>
      <c r="D41" s="163">
        <f t="shared" si="34"/>
        <v>324000</v>
      </c>
      <c r="E41" s="132">
        <f t="shared" si="34"/>
        <v>421000</v>
      </c>
      <c r="F41" s="132">
        <f t="shared" si="34"/>
        <v>590000</v>
      </c>
      <c r="G41" s="132">
        <f t="shared" si="34"/>
        <v>826000</v>
      </c>
      <c r="H41" s="132">
        <f t="shared" si="34"/>
        <v>1156000</v>
      </c>
      <c r="I41" s="173">
        <v>0.2</v>
      </c>
      <c r="L41" s="164"/>
      <c r="N41" s="164"/>
      <c r="O41" s="148"/>
      <c r="P41" s="148"/>
      <c r="Q41" s="148"/>
      <c r="R41" s="148"/>
    </row>
    <row r="42" spans="1:18" s="149" customFormat="1" x14ac:dyDescent="0.25">
      <c r="A42" s="150" t="s">
        <v>160</v>
      </c>
      <c r="B42" s="163">
        <f t="shared" ref="B42:H42" si="35">ROUNDDOWN(B39*$I$42,-3)</f>
        <v>1150000</v>
      </c>
      <c r="C42" s="163">
        <f t="shared" si="35"/>
        <v>1496000</v>
      </c>
      <c r="D42" s="163">
        <f t="shared" si="35"/>
        <v>1945000</v>
      </c>
      <c r="E42" s="132">
        <f t="shared" si="35"/>
        <v>2528000</v>
      </c>
      <c r="F42" s="132">
        <f t="shared" si="35"/>
        <v>3540000</v>
      </c>
      <c r="G42" s="132">
        <f t="shared" si="35"/>
        <v>4957000</v>
      </c>
      <c r="H42" s="132">
        <f t="shared" si="35"/>
        <v>6939000</v>
      </c>
      <c r="I42" s="173">
        <v>1.2</v>
      </c>
      <c r="L42" s="164"/>
      <c r="N42" s="164"/>
      <c r="O42" s="148"/>
      <c r="P42" s="148"/>
      <c r="Q42" s="148"/>
      <c r="R42" s="148"/>
    </row>
    <row r="43" spans="1:18" s="149" customFormat="1" x14ac:dyDescent="0.25">
      <c r="A43" s="150" t="s">
        <v>161</v>
      </c>
      <c r="B43" s="163">
        <f t="shared" ref="B43:H43" si="36">ROUNDDOWN(B39*$I$43,-3)</f>
        <v>479000</v>
      </c>
      <c r="C43" s="163">
        <f t="shared" si="36"/>
        <v>623000</v>
      </c>
      <c r="D43" s="163">
        <f t="shared" si="36"/>
        <v>810000</v>
      </c>
      <c r="E43" s="132">
        <f t="shared" si="36"/>
        <v>1053000</v>
      </c>
      <c r="F43" s="132">
        <f t="shared" si="36"/>
        <v>1475000</v>
      </c>
      <c r="G43" s="132">
        <f t="shared" si="36"/>
        <v>2065000</v>
      </c>
      <c r="H43" s="132">
        <f t="shared" si="36"/>
        <v>2891000</v>
      </c>
      <c r="I43" s="173">
        <v>0.5</v>
      </c>
      <c r="L43" s="164"/>
      <c r="N43" s="164"/>
      <c r="O43" s="148"/>
      <c r="P43" s="148"/>
      <c r="Q43" s="148"/>
      <c r="R43" s="148"/>
    </row>
    <row r="44" spans="1:18" s="149" customFormat="1" x14ac:dyDescent="0.25">
      <c r="A44" s="147" t="s">
        <v>162</v>
      </c>
      <c r="B44" s="163">
        <f t="shared" ref="B44:H44" si="37">ROUNDDOWN(B39*$I$44,-3)</f>
        <v>671000</v>
      </c>
      <c r="C44" s="163">
        <f t="shared" si="37"/>
        <v>872000</v>
      </c>
      <c r="D44" s="163">
        <f t="shared" si="37"/>
        <v>1134000</v>
      </c>
      <c r="E44" s="132">
        <f t="shared" si="37"/>
        <v>1474000</v>
      </c>
      <c r="F44" s="132">
        <f t="shared" si="37"/>
        <v>2065000</v>
      </c>
      <c r="G44" s="132">
        <f t="shared" si="37"/>
        <v>2891000</v>
      </c>
      <c r="H44" s="132">
        <f t="shared" si="37"/>
        <v>4048000</v>
      </c>
      <c r="I44" s="173">
        <v>0.7</v>
      </c>
      <c r="L44" s="164"/>
      <c r="N44" s="164"/>
      <c r="O44" s="151"/>
      <c r="P44" s="151"/>
      <c r="Q44" s="151"/>
      <c r="R44" s="151"/>
    </row>
    <row r="45" spans="1:18" s="149" customFormat="1" x14ac:dyDescent="0.25">
      <c r="A45" s="147" t="s">
        <v>163</v>
      </c>
      <c r="B45" s="163">
        <f t="shared" ref="B45:H45" si="38">ROUNDDOWN(B39*$I$45,-3)</f>
        <v>287000</v>
      </c>
      <c r="C45" s="163">
        <f t="shared" si="38"/>
        <v>374000</v>
      </c>
      <c r="D45" s="163">
        <f t="shared" si="38"/>
        <v>486000</v>
      </c>
      <c r="E45" s="132">
        <f t="shared" si="38"/>
        <v>632000</v>
      </c>
      <c r="F45" s="132">
        <f t="shared" si="38"/>
        <v>885000</v>
      </c>
      <c r="G45" s="132">
        <f t="shared" si="38"/>
        <v>1239000</v>
      </c>
      <c r="H45" s="132">
        <f t="shared" si="38"/>
        <v>1734000</v>
      </c>
      <c r="I45" s="173">
        <v>0.3</v>
      </c>
      <c r="L45" s="164"/>
      <c r="N45" s="164"/>
      <c r="O45" s="151"/>
      <c r="P45" s="151"/>
      <c r="Q45" s="151"/>
      <c r="R45" s="151"/>
    </row>
    <row r="46" spans="1:18" s="149" customFormat="1" x14ac:dyDescent="0.25">
      <c r="A46" s="150" t="s">
        <v>164</v>
      </c>
      <c r="B46" s="163">
        <f t="shared" ref="B46:H46" si="39">ROUNDDOWN(B39*$I$46,-3)</f>
        <v>143000</v>
      </c>
      <c r="C46" s="163">
        <f t="shared" si="39"/>
        <v>187000</v>
      </c>
      <c r="D46" s="163">
        <f t="shared" si="39"/>
        <v>243000</v>
      </c>
      <c r="E46" s="132">
        <f t="shared" si="39"/>
        <v>316000</v>
      </c>
      <c r="F46" s="132">
        <f t="shared" si="39"/>
        <v>442000</v>
      </c>
      <c r="G46" s="132">
        <f t="shared" si="39"/>
        <v>619000</v>
      </c>
      <c r="H46" s="132">
        <f t="shared" si="39"/>
        <v>867000</v>
      </c>
      <c r="I46" s="173">
        <v>0.15</v>
      </c>
      <c r="L46" s="164"/>
      <c r="N46" s="164"/>
      <c r="O46" s="148"/>
      <c r="P46" s="148"/>
      <c r="Q46" s="148"/>
      <c r="R46" s="148"/>
    </row>
    <row r="47" spans="1:18" s="149" customFormat="1" x14ac:dyDescent="0.25">
      <c r="A47" s="150" t="s">
        <v>165</v>
      </c>
      <c r="B47" s="163">
        <f t="shared" ref="B47:H47" si="40">ROUNDDOWN(B39*$I$47,-3)</f>
        <v>287000</v>
      </c>
      <c r="C47" s="163">
        <f t="shared" si="40"/>
        <v>374000</v>
      </c>
      <c r="D47" s="163">
        <f t="shared" si="40"/>
        <v>486000</v>
      </c>
      <c r="E47" s="132">
        <f t="shared" si="40"/>
        <v>632000</v>
      </c>
      <c r="F47" s="132">
        <f t="shared" si="40"/>
        <v>885000</v>
      </c>
      <c r="G47" s="132">
        <f t="shared" si="40"/>
        <v>1239000</v>
      </c>
      <c r="H47" s="132">
        <f t="shared" si="40"/>
        <v>1734000</v>
      </c>
      <c r="I47" s="173">
        <v>0.3</v>
      </c>
      <c r="L47" s="164"/>
      <c r="N47" s="164"/>
      <c r="O47" s="148"/>
      <c r="P47" s="148"/>
      <c r="Q47" s="148"/>
      <c r="R47" s="148"/>
    </row>
    <row r="48" spans="1:18" s="149" customFormat="1" ht="31.5" x14ac:dyDescent="0.25">
      <c r="A48" s="520" t="s">
        <v>403</v>
      </c>
      <c r="B48" s="163">
        <f t="shared" ref="B48:H48" si="41">ROUNDDOWN(B39*$I$48,-3)</f>
        <v>287000</v>
      </c>
      <c r="C48" s="163">
        <f t="shared" si="41"/>
        <v>374000</v>
      </c>
      <c r="D48" s="163">
        <f t="shared" si="41"/>
        <v>486000</v>
      </c>
      <c r="E48" s="163">
        <f t="shared" si="41"/>
        <v>632000</v>
      </c>
      <c r="F48" s="163">
        <f t="shared" si="41"/>
        <v>885000</v>
      </c>
      <c r="G48" s="163">
        <f t="shared" si="41"/>
        <v>1239000</v>
      </c>
      <c r="H48" s="163">
        <f t="shared" si="41"/>
        <v>1734000</v>
      </c>
      <c r="I48" s="173">
        <v>0.3</v>
      </c>
      <c r="L48" s="164"/>
      <c r="N48" s="164"/>
      <c r="O48" s="148"/>
      <c r="P48" s="148"/>
      <c r="Q48" s="148"/>
      <c r="R48" s="148"/>
    </row>
    <row r="49" spans="1:18" s="149" customFormat="1" ht="31.5" x14ac:dyDescent="0.25">
      <c r="A49" s="147" t="s">
        <v>166</v>
      </c>
      <c r="B49" s="163">
        <f t="shared" ref="B49:H49" si="42">ROUNDDOWN(B39*$I$49,-3)</f>
        <v>191000</v>
      </c>
      <c r="C49" s="163">
        <f t="shared" si="42"/>
        <v>249000</v>
      </c>
      <c r="D49" s="163">
        <f t="shared" si="42"/>
        <v>324000</v>
      </c>
      <c r="E49" s="132">
        <f t="shared" si="42"/>
        <v>421000</v>
      </c>
      <c r="F49" s="132">
        <f t="shared" si="42"/>
        <v>590000</v>
      </c>
      <c r="G49" s="132">
        <f t="shared" si="42"/>
        <v>826000</v>
      </c>
      <c r="H49" s="132">
        <f t="shared" si="42"/>
        <v>1156000</v>
      </c>
      <c r="I49" s="173">
        <v>0.2</v>
      </c>
      <c r="L49" s="164"/>
      <c r="N49" s="164"/>
      <c r="O49" s="148"/>
      <c r="P49" s="148"/>
      <c r="Q49" s="148"/>
      <c r="R49" s="148"/>
    </row>
    <row r="50" spans="1:18" s="149" customFormat="1" x14ac:dyDescent="0.25">
      <c r="A50" s="150" t="s">
        <v>152</v>
      </c>
      <c r="B50" s="163">
        <f t="shared" ref="B50:H50" si="43">ROUNDDOWN(B39*$I$50,-3)</f>
        <v>479000</v>
      </c>
      <c r="C50" s="163">
        <f t="shared" si="43"/>
        <v>623000</v>
      </c>
      <c r="D50" s="163">
        <f t="shared" si="43"/>
        <v>810000</v>
      </c>
      <c r="E50" s="132">
        <f t="shared" si="43"/>
        <v>1053000</v>
      </c>
      <c r="F50" s="132">
        <f t="shared" si="43"/>
        <v>1475000</v>
      </c>
      <c r="G50" s="132">
        <f t="shared" si="43"/>
        <v>2065000</v>
      </c>
      <c r="H50" s="132">
        <f t="shared" si="43"/>
        <v>2891000</v>
      </c>
      <c r="I50" s="173">
        <v>0.5</v>
      </c>
      <c r="L50" s="164"/>
      <c r="N50" s="164"/>
      <c r="O50" s="148"/>
      <c r="P50" s="148"/>
      <c r="Q50" s="148"/>
      <c r="R50" s="148"/>
    </row>
    <row r="51" spans="1:18" s="149" customFormat="1" x14ac:dyDescent="0.25">
      <c r="A51" s="150" t="s">
        <v>167</v>
      </c>
      <c r="B51" s="163">
        <f t="shared" ref="B51:H51" si="44">ROUNDDOWN(B39*$I$51,-3)</f>
        <v>47000</v>
      </c>
      <c r="C51" s="163">
        <f t="shared" si="44"/>
        <v>62000</v>
      </c>
      <c r="D51" s="163">
        <f t="shared" si="44"/>
        <v>81000</v>
      </c>
      <c r="E51" s="132">
        <f t="shared" si="44"/>
        <v>105000</v>
      </c>
      <c r="F51" s="132">
        <f t="shared" si="44"/>
        <v>147000</v>
      </c>
      <c r="G51" s="132">
        <f t="shared" si="44"/>
        <v>206000</v>
      </c>
      <c r="H51" s="132">
        <f t="shared" si="44"/>
        <v>289000</v>
      </c>
      <c r="I51" s="173">
        <v>0.05</v>
      </c>
      <c r="L51" s="164"/>
      <c r="N51" s="164"/>
      <c r="O51" s="148"/>
      <c r="P51" s="148"/>
      <c r="Q51" s="148"/>
      <c r="R51" s="148"/>
    </row>
    <row r="52" spans="1:18" s="149" customFormat="1" x14ac:dyDescent="0.25">
      <c r="A52" s="150" t="s">
        <v>168</v>
      </c>
      <c r="B52" s="163">
        <f t="shared" ref="B52:H52" si="45">ROUNDDOWN(B39*$I$52,-3)</f>
        <v>191000</v>
      </c>
      <c r="C52" s="163">
        <f t="shared" si="45"/>
        <v>249000</v>
      </c>
      <c r="D52" s="163">
        <f t="shared" si="45"/>
        <v>324000</v>
      </c>
      <c r="E52" s="132">
        <f t="shared" si="45"/>
        <v>421000</v>
      </c>
      <c r="F52" s="132">
        <f t="shared" si="45"/>
        <v>590000</v>
      </c>
      <c r="G52" s="132">
        <f t="shared" si="45"/>
        <v>826000</v>
      </c>
      <c r="H52" s="132">
        <f t="shared" si="45"/>
        <v>1156000</v>
      </c>
      <c r="I52" s="173">
        <v>0.2</v>
      </c>
      <c r="L52" s="164"/>
      <c r="N52" s="164"/>
      <c r="O52" s="148"/>
      <c r="P52" s="148"/>
      <c r="Q52" s="148"/>
      <c r="R52" s="148"/>
    </row>
    <row r="53" spans="1:18" s="149" customFormat="1" x14ac:dyDescent="0.25">
      <c r="A53" s="147" t="s">
        <v>16</v>
      </c>
      <c r="B53" s="163">
        <f t="shared" ref="B53:H53" si="46">ROUNDDOWN(B39*$I$53,-3)</f>
        <v>249000</v>
      </c>
      <c r="C53" s="163">
        <f t="shared" si="46"/>
        <v>324000</v>
      </c>
      <c r="D53" s="163">
        <f t="shared" si="46"/>
        <v>421000</v>
      </c>
      <c r="E53" s="132">
        <f t="shared" si="46"/>
        <v>547000</v>
      </c>
      <c r="F53" s="132">
        <f t="shared" si="46"/>
        <v>767000</v>
      </c>
      <c r="G53" s="132">
        <f t="shared" si="46"/>
        <v>1074000</v>
      </c>
      <c r="H53" s="132">
        <f t="shared" si="46"/>
        <v>1503000</v>
      </c>
      <c r="I53" s="173">
        <f>40%-(40%*35%)</f>
        <v>0.26</v>
      </c>
      <c r="L53" s="164"/>
      <c r="N53" s="164"/>
      <c r="O53" s="148"/>
      <c r="P53" s="148"/>
      <c r="Q53" s="148"/>
      <c r="R53" s="148"/>
    </row>
    <row r="54" spans="1:18" s="149" customFormat="1" x14ac:dyDescent="0.25">
      <c r="A54" s="147" t="s">
        <v>169</v>
      </c>
      <c r="B54" s="163">
        <f t="shared" ref="B54:H54" si="47">ROUNDDOWN(B39*$I$54,-3)</f>
        <v>191000</v>
      </c>
      <c r="C54" s="163">
        <f t="shared" si="47"/>
        <v>249000</v>
      </c>
      <c r="D54" s="163">
        <f t="shared" si="47"/>
        <v>324000</v>
      </c>
      <c r="E54" s="132">
        <f t="shared" si="47"/>
        <v>421000</v>
      </c>
      <c r="F54" s="132">
        <f t="shared" si="47"/>
        <v>590000</v>
      </c>
      <c r="G54" s="132">
        <f t="shared" si="47"/>
        <v>826000</v>
      </c>
      <c r="H54" s="132">
        <f t="shared" si="47"/>
        <v>1156000</v>
      </c>
      <c r="I54" s="467">
        <v>0.2</v>
      </c>
      <c r="L54" s="164"/>
      <c r="N54" s="164"/>
      <c r="O54" s="148"/>
      <c r="P54" s="148"/>
      <c r="Q54" s="148"/>
      <c r="R54" s="148"/>
    </row>
    <row r="55" spans="1:18" s="125" customFormat="1" ht="18.75" customHeight="1" x14ac:dyDescent="0.25">
      <c r="A55" s="136" t="s">
        <v>138</v>
      </c>
      <c r="B55" s="651">
        <f t="shared" ref="B55:H55" si="48">SUM(B36:B54)</f>
        <v>6644000</v>
      </c>
      <c r="C55" s="651">
        <f t="shared" si="48"/>
        <v>8654000</v>
      </c>
      <c r="D55" s="651">
        <f t="shared" si="48"/>
        <v>11252000</v>
      </c>
      <c r="E55" s="137">
        <f t="shared" si="48"/>
        <v>14625000</v>
      </c>
      <c r="F55" s="137">
        <f t="shared" si="48"/>
        <v>20486000</v>
      </c>
      <c r="G55" s="137">
        <f t="shared" si="48"/>
        <v>28684000</v>
      </c>
      <c r="H55" s="137">
        <f t="shared" si="48"/>
        <v>40153000</v>
      </c>
      <c r="I55" s="466"/>
      <c r="L55" s="165"/>
      <c r="N55" s="165"/>
      <c r="O55" s="139"/>
      <c r="P55" s="139"/>
      <c r="Q55" s="139"/>
      <c r="R55" s="139"/>
    </row>
    <row r="56" spans="1:18" s="81" customFormat="1" x14ac:dyDescent="0.25">
      <c r="A56" s="140"/>
      <c r="B56" s="652"/>
      <c r="C56" s="652"/>
      <c r="D56" s="652"/>
      <c r="E56" s="141"/>
      <c r="F56" s="141"/>
      <c r="G56" s="141"/>
      <c r="H56" s="141"/>
      <c r="I56" s="141"/>
      <c r="K56" s="142"/>
      <c r="L56" s="143"/>
      <c r="M56" s="124"/>
      <c r="N56" s="124"/>
      <c r="O56" s="124"/>
      <c r="P56" s="124"/>
      <c r="Q56" s="124"/>
      <c r="R56" s="124"/>
    </row>
    <row r="62" spans="1:18" s="81" customFormat="1" x14ac:dyDescent="0.25">
      <c r="A62" s="81" t="s">
        <v>170</v>
      </c>
      <c r="B62" s="647"/>
      <c r="C62" s="647"/>
      <c r="D62" s="647"/>
    </row>
    <row r="63" spans="1:18" s="81" customFormat="1" x14ac:dyDescent="0.25">
      <c r="B63" s="647"/>
      <c r="C63" s="647"/>
      <c r="D63" s="655"/>
      <c r="E63" s="153"/>
      <c r="J63" s="153" t="s">
        <v>171</v>
      </c>
    </row>
    <row r="64" spans="1:18" s="81" customFormat="1" x14ac:dyDescent="0.25">
      <c r="B64" s="647"/>
      <c r="C64" s="647"/>
      <c r="D64" s="647"/>
      <c r="J64" s="81" t="s">
        <v>179</v>
      </c>
      <c r="L64" s="170">
        <v>234000</v>
      </c>
      <c r="M64" s="81" t="s">
        <v>135</v>
      </c>
    </row>
    <row r="65" spans="1:11" s="81" customFormat="1" ht="18" customHeight="1" x14ac:dyDescent="0.25">
      <c r="A65" s="368" t="s">
        <v>0</v>
      </c>
      <c r="B65" s="543" t="s">
        <v>1</v>
      </c>
      <c r="C65" s="543" t="s">
        <v>2</v>
      </c>
      <c r="D65" s="543" t="s">
        <v>3</v>
      </c>
      <c r="E65" s="84" t="s">
        <v>4</v>
      </c>
      <c r="F65" s="84" t="s">
        <v>5</v>
      </c>
      <c r="G65" s="543" t="s">
        <v>125</v>
      </c>
      <c r="H65" s="543" t="s">
        <v>126</v>
      </c>
      <c r="I65" s="543" t="s">
        <v>127</v>
      </c>
      <c r="J65" s="543" t="s">
        <v>146</v>
      </c>
      <c r="K65" s="84" t="s">
        <v>6</v>
      </c>
    </row>
    <row r="66" spans="1:11" s="81" customFormat="1" x14ac:dyDescent="0.25">
      <c r="A66" s="127" t="s">
        <v>184</v>
      </c>
      <c r="B66" s="653">
        <v>2.0499999999999998</v>
      </c>
      <c r="C66" s="656">
        <f>B66*1.3</f>
        <v>2.665</v>
      </c>
      <c r="D66" s="656">
        <f t="shared" ref="D66:F66" si="49">C66*1.3</f>
        <v>3.4645000000000001</v>
      </c>
      <c r="E66" s="172">
        <f t="shared" si="49"/>
        <v>4.5038499999999999</v>
      </c>
      <c r="F66" s="172">
        <f t="shared" si="49"/>
        <v>5.8550050000000002</v>
      </c>
      <c r="G66" s="172">
        <f t="shared" ref="G66:J66" si="50">F66*1.4</f>
        <v>8.1970069999999993</v>
      </c>
      <c r="H66" s="172">
        <f t="shared" si="50"/>
        <v>11.475809799999999</v>
      </c>
      <c r="I66" s="172">
        <f t="shared" si="50"/>
        <v>16.066133719999996</v>
      </c>
      <c r="J66" s="172">
        <f t="shared" si="50"/>
        <v>22.492587207999993</v>
      </c>
      <c r="K66" s="370"/>
    </row>
    <row r="67" spans="1:11" s="81" customFormat="1" x14ac:dyDescent="0.25">
      <c r="A67" s="129" t="s">
        <v>380</v>
      </c>
      <c r="B67" s="650"/>
      <c r="C67" s="650"/>
      <c r="D67" s="650"/>
      <c r="E67" s="130"/>
      <c r="F67" s="130"/>
      <c r="G67" s="130"/>
      <c r="H67" s="130"/>
      <c r="I67" s="130"/>
      <c r="J67" s="130"/>
      <c r="K67" s="126"/>
    </row>
    <row r="68" spans="1:11" x14ac:dyDescent="0.25">
      <c r="A68" s="134" t="s">
        <v>7</v>
      </c>
      <c r="B68" s="171">
        <f t="shared" ref="B68:J68" si="51">ROUNDDOWN(B70*$K$68,-3)</f>
        <v>124000</v>
      </c>
      <c r="C68" s="171">
        <f t="shared" si="51"/>
        <v>161000</v>
      </c>
      <c r="D68" s="171">
        <f t="shared" si="51"/>
        <v>210000</v>
      </c>
      <c r="E68" s="154">
        <f t="shared" si="51"/>
        <v>273000</v>
      </c>
      <c r="F68" s="154">
        <f t="shared" si="51"/>
        <v>356000</v>
      </c>
      <c r="G68" s="154">
        <f t="shared" si="51"/>
        <v>498000</v>
      </c>
      <c r="H68" s="154">
        <f t="shared" si="51"/>
        <v>698000</v>
      </c>
      <c r="I68" s="154">
        <f t="shared" si="51"/>
        <v>977000</v>
      </c>
      <c r="J68" s="154">
        <f t="shared" si="51"/>
        <v>1368000</v>
      </c>
      <c r="K68" s="371">
        <f>40%-(40%*35%)</f>
        <v>0.26</v>
      </c>
    </row>
    <row r="69" spans="1:11" s="149" customFormat="1" x14ac:dyDescent="0.25">
      <c r="A69" s="445" t="s">
        <v>9</v>
      </c>
      <c r="B69" s="163">
        <f t="shared" ref="B69:J69" si="52">ROUNDDOWN(B70*$K$69,-3)</f>
        <v>93000</v>
      </c>
      <c r="C69" s="163">
        <f t="shared" si="52"/>
        <v>121000</v>
      </c>
      <c r="D69" s="163">
        <f t="shared" si="52"/>
        <v>157000</v>
      </c>
      <c r="E69" s="132">
        <f t="shared" si="52"/>
        <v>205000</v>
      </c>
      <c r="F69" s="132">
        <f t="shared" si="52"/>
        <v>267000</v>
      </c>
      <c r="G69" s="132">
        <f t="shared" si="52"/>
        <v>374000</v>
      </c>
      <c r="H69" s="132">
        <f t="shared" si="52"/>
        <v>523000</v>
      </c>
      <c r="I69" s="132">
        <f t="shared" si="52"/>
        <v>733000</v>
      </c>
      <c r="J69" s="132">
        <f t="shared" si="52"/>
        <v>1026000</v>
      </c>
      <c r="K69" s="373">
        <f>30%-(30%*35%)</f>
        <v>0.19500000000000001</v>
      </c>
    </row>
    <row r="70" spans="1:11" s="458" customFormat="1" x14ac:dyDescent="0.25">
      <c r="A70" s="446" t="s">
        <v>128</v>
      </c>
      <c r="B70" s="171">
        <f t="shared" ref="B70:I70" si="53">ROUNDDOWN(B66*$L$64,-3)</f>
        <v>479000</v>
      </c>
      <c r="C70" s="171">
        <f t="shared" si="53"/>
        <v>623000</v>
      </c>
      <c r="D70" s="171">
        <f t="shared" si="53"/>
        <v>810000</v>
      </c>
      <c r="E70" s="171">
        <f t="shared" si="53"/>
        <v>1053000</v>
      </c>
      <c r="F70" s="171">
        <f t="shared" si="53"/>
        <v>1370000</v>
      </c>
      <c r="G70" s="171">
        <f t="shared" si="53"/>
        <v>1918000</v>
      </c>
      <c r="H70" s="171">
        <f t="shared" si="53"/>
        <v>2685000</v>
      </c>
      <c r="I70" s="171">
        <f t="shared" si="53"/>
        <v>3759000</v>
      </c>
      <c r="J70" s="171">
        <f t="shared" ref="J70" si="54">ROUNDDOWN(J66*$L$64,-3)</f>
        <v>5263000</v>
      </c>
      <c r="K70" s="372" t="s">
        <v>11</v>
      </c>
    </row>
    <row r="71" spans="1:11" x14ac:dyDescent="0.25">
      <c r="A71" s="134" t="s">
        <v>12</v>
      </c>
      <c r="B71" s="171">
        <f t="shared" ref="B71:J71" si="55">ROUNDDOWN(B70*$K$71,-3)</f>
        <v>47000</v>
      </c>
      <c r="C71" s="171">
        <f t="shared" si="55"/>
        <v>62000</v>
      </c>
      <c r="D71" s="171">
        <f t="shared" si="55"/>
        <v>81000</v>
      </c>
      <c r="E71" s="154">
        <f t="shared" si="55"/>
        <v>105000</v>
      </c>
      <c r="F71" s="154">
        <f t="shared" si="55"/>
        <v>137000</v>
      </c>
      <c r="G71" s="154">
        <f t="shared" si="55"/>
        <v>191000</v>
      </c>
      <c r="H71" s="154">
        <f t="shared" si="55"/>
        <v>268000</v>
      </c>
      <c r="I71" s="154">
        <f t="shared" si="55"/>
        <v>375000</v>
      </c>
      <c r="J71" s="154">
        <f t="shared" si="55"/>
        <v>526000</v>
      </c>
      <c r="K71" s="371">
        <v>0.1</v>
      </c>
    </row>
    <row r="72" spans="1:11" x14ac:dyDescent="0.25">
      <c r="A72" s="134" t="s">
        <v>172</v>
      </c>
      <c r="B72" s="171">
        <f t="shared" ref="B72:J72" si="56">ROUNDDOWN(B70*$K$72,-3)</f>
        <v>335000</v>
      </c>
      <c r="C72" s="171">
        <f t="shared" si="56"/>
        <v>436000</v>
      </c>
      <c r="D72" s="171">
        <f t="shared" si="56"/>
        <v>567000</v>
      </c>
      <c r="E72" s="154">
        <f t="shared" si="56"/>
        <v>737000</v>
      </c>
      <c r="F72" s="154">
        <f t="shared" si="56"/>
        <v>959000</v>
      </c>
      <c r="G72" s="154">
        <f t="shared" si="56"/>
        <v>1342000</v>
      </c>
      <c r="H72" s="154">
        <f t="shared" si="56"/>
        <v>1879000</v>
      </c>
      <c r="I72" s="154">
        <f t="shared" si="56"/>
        <v>2631000</v>
      </c>
      <c r="J72" s="154">
        <f t="shared" si="56"/>
        <v>3684000</v>
      </c>
      <c r="K72" s="371">
        <v>0.7</v>
      </c>
    </row>
    <row r="73" spans="1:11" x14ac:dyDescent="0.25">
      <c r="A73" s="134" t="s">
        <v>173</v>
      </c>
      <c r="B73" s="171">
        <f t="shared" ref="B73:J73" si="57">ROUNDDOWN(B70*$K$73,-3)</f>
        <v>239000</v>
      </c>
      <c r="C73" s="171">
        <f t="shared" si="57"/>
        <v>311000</v>
      </c>
      <c r="D73" s="171">
        <f t="shared" si="57"/>
        <v>405000</v>
      </c>
      <c r="E73" s="154">
        <f t="shared" si="57"/>
        <v>526000</v>
      </c>
      <c r="F73" s="154">
        <f t="shared" si="57"/>
        <v>685000</v>
      </c>
      <c r="G73" s="154">
        <f t="shared" si="57"/>
        <v>959000</v>
      </c>
      <c r="H73" s="154">
        <f t="shared" si="57"/>
        <v>1342000</v>
      </c>
      <c r="I73" s="154">
        <f t="shared" si="57"/>
        <v>1879000</v>
      </c>
      <c r="J73" s="154">
        <f t="shared" si="57"/>
        <v>2631000</v>
      </c>
      <c r="K73" s="371">
        <v>0.5</v>
      </c>
    </row>
    <row r="74" spans="1:11" x14ac:dyDescent="0.25">
      <c r="A74" s="134" t="s">
        <v>26</v>
      </c>
      <c r="B74" s="171">
        <f t="shared" ref="B74:J74" si="58">ROUNDDOWN(B70*$K$74,-3)</f>
        <v>47000</v>
      </c>
      <c r="C74" s="171">
        <f t="shared" si="58"/>
        <v>62000</v>
      </c>
      <c r="D74" s="171">
        <f t="shared" si="58"/>
        <v>81000</v>
      </c>
      <c r="E74" s="154">
        <f t="shared" si="58"/>
        <v>105000</v>
      </c>
      <c r="F74" s="154">
        <f t="shared" si="58"/>
        <v>137000</v>
      </c>
      <c r="G74" s="154">
        <f t="shared" si="58"/>
        <v>191000</v>
      </c>
      <c r="H74" s="154">
        <f t="shared" si="58"/>
        <v>268000</v>
      </c>
      <c r="I74" s="154">
        <f t="shared" si="58"/>
        <v>375000</v>
      </c>
      <c r="J74" s="154">
        <f t="shared" si="58"/>
        <v>526000</v>
      </c>
      <c r="K74" s="371">
        <v>0.1</v>
      </c>
    </row>
    <row r="75" spans="1:11" s="149" customFormat="1" ht="31.5" x14ac:dyDescent="0.25">
      <c r="A75" s="445" t="s">
        <v>174</v>
      </c>
      <c r="B75" s="163">
        <f t="shared" ref="B75:J75" si="59">ROUNDDOWN(B70*$K$75,-3)</f>
        <v>71000</v>
      </c>
      <c r="C75" s="163">
        <f t="shared" si="59"/>
        <v>93000</v>
      </c>
      <c r="D75" s="163">
        <f t="shared" si="59"/>
        <v>121000</v>
      </c>
      <c r="E75" s="132">
        <f t="shared" si="59"/>
        <v>157000</v>
      </c>
      <c r="F75" s="132">
        <f t="shared" si="59"/>
        <v>205000</v>
      </c>
      <c r="G75" s="132">
        <f t="shared" si="59"/>
        <v>287000</v>
      </c>
      <c r="H75" s="132">
        <f t="shared" si="59"/>
        <v>402000</v>
      </c>
      <c r="I75" s="132">
        <f t="shared" si="59"/>
        <v>563000</v>
      </c>
      <c r="J75" s="132">
        <f t="shared" si="59"/>
        <v>789000</v>
      </c>
      <c r="K75" s="373">
        <v>0.15</v>
      </c>
    </row>
    <row r="76" spans="1:11" s="149" customFormat="1" ht="31.5" x14ac:dyDescent="0.25">
      <c r="A76" s="445" t="s">
        <v>175</v>
      </c>
      <c r="B76" s="163">
        <f t="shared" ref="B76:J76" si="60">ROUNDDOWN(B70*$K$76,-3)</f>
        <v>191000</v>
      </c>
      <c r="C76" s="163">
        <f t="shared" si="60"/>
        <v>249000</v>
      </c>
      <c r="D76" s="163">
        <f t="shared" si="60"/>
        <v>324000</v>
      </c>
      <c r="E76" s="132">
        <f t="shared" si="60"/>
        <v>421000</v>
      </c>
      <c r="F76" s="132">
        <f t="shared" si="60"/>
        <v>548000</v>
      </c>
      <c r="G76" s="132">
        <f t="shared" si="60"/>
        <v>767000</v>
      </c>
      <c r="H76" s="132">
        <f t="shared" si="60"/>
        <v>1074000</v>
      </c>
      <c r="I76" s="132">
        <f t="shared" si="60"/>
        <v>1503000</v>
      </c>
      <c r="J76" s="132">
        <f t="shared" si="60"/>
        <v>2105000</v>
      </c>
      <c r="K76" s="373">
        <v>0.4</v>
      </c>
    </row>
    <row r="77" spans="1:11" s="149" customFormat="1" ht="31.5" x14ac:dyDescent="0.25">
      <c r="A77" s="520" t="s">
        <v>403</v>
      </c>
      <c r="B77" s="163">
        <f t="shared" ref="B77:J77" si="61">ROUNDDOWN(B70*$K$77,-3)</f>
        <v>143000</v>
      </c>
      <c r="C77" s="163">
        <f t="shared" si="61"/>
        <v>186000</v>
      </c>
      <c r="D77" s="163">
        <f t="shared" si="61"/>
        <v>243000</v>
      </c>
      <c r="E77" s="163">
        <f t="shared" si="61"/>
        <v>315000</v>
      </c>
      <c r="F77" s="163">
        <f t="shared" si="61"/>
        <v>411000</v>
      </c>
      <c r="G77" s="163">
        <f t="shared" si="61"/>
        <v>575000</v>
      </c>
      <c r="H77" s="163">
        <f t="shared" si="61"/>
        <v>805000</v>
      </c>
      <c r="I77" s="163">
        <f t="shared" si="61"/>
        <v>1127000</v>
      </c>
      <c r="J77" s="163">
        <f t="shared" si="61"/>
        <v>1578000</v>
      </c>
      <c r="K77" s="521">
        <v>0.3</v>
      </c>
    </row>
    <row r="78" spans="1:11" s="149" customFormat="1" ht="31.5" x14ac:dyDescent="0.25">
      <c r="A78" s="445" t="s">
        <v>176</v>
      </c>
      <c r="B78" s="163">
        <f t="shared" ref="B78:J78" si="62">ROUNDDOWN(B70*$K$78,-3)</f>
        <v>95000</v>
      </c>
      <c r="C78" s="163">
        <f t="shared" si="62"/>
        <v>124000</v>
      </c>
      <c r="D78" s="163">
        <f t="shared" si="62"/>
        <v>162000</v>
      </c>
      <c r="E78" s="132">
        <f t="shared" si="62"/>
        <v>210000</v>
      </c>
      <c r="F78" s="132">
        <f t="shared" si="62"/>
        <v>274000</v>
      </c>
      <c r="G78" s="132">
        <f t="shared" si="62"/>
        <v>383000</v>
      </c>
      <c r="H78" s="132">
        <f t="shared" si="62"/>
        <v>537000</v>
      </c>
      <c r="I78" s="132">
        <f t="shared" si="62"/>
        <v>751000</v>
      </c>
      <c r="J78" s="132">
        <f t="shared" si="62"/>
        <v>1052000</v>
      </c>
      <c r="K78" s="373">
        <v>0.2</v>
      </c>
    </row>
    <row r="79" spans="1:11" x14ac:dyDescent="0.25">
      <c r="A79" s="134" t="s">
        <v>152</v>
      </c>
      <c r="B79" s="171">
        <f t="shared" ref="B79:J79" si="63">ROUNDDOWN(B70*$K$79,-3)</f>
        <v>239000</v>
      </c>
      <c r="C79" s="171">
        <f t="shared" si="63"/>
        <v>311000</v>
      </c>
      <c r="D79" s="171">
        <f t="shared" si="63"/>
        <v>405000</v>
      </c>
      <c r="E79" s="456">
        <f t="shared" si="63"/>
        <v>526000</v>
      </c>
      <c r="F79" s="456">
        <f t="shared" si="63"/>
        <v>685000</v>
      </c>
      <c r="G79" s="456">
        <f t="shared" si="63"/>
        <v>959000</v>
      </c>
      <c r="H79" s="456">
        <f t="shared" si="63"/>
        <v>1342000</v>
      </c>
      <c r="I79" s="456">
        <f t="shared" si="63"/>
        <v>1879000</v>
      </c>
      <c r="J79" s="456">
        <f t="shared" si="63"/>
        <v>2631000</v>
      </c>
      <c r="K79" s="457">
        <v>0.5</v>
      </c>
    </row>
    <row r="80" spans="1:11" x14ac:dyDescent="0.25">
      <c r="A80" s="134" t="s">
        <v>167</v>
      </c>
      <c r="B80" s="171">
        <f t="shared" ref="B80:J80" si="64">ROUNDDOWN(B70*$K$80,-3)</f>
        <v>23000</v>
      </c>
      <c r="C80" s="171">
        <f t="shared" si="64"/>
        <v>31000</v>
      </c>
      <c r="D80" s="171">
        <f t="shared" si="64"/>
        <v>40000</v>
      </c>
      <c r="E80" s="154">
        <f t="shared" si="64"/>
        <v>52000</v>
      </c>
      <c r="F80" s="154">
        <f t="shared" si="64"/>
        <v>68000</v>
      </c>
      <c r="G80" s="154">
        <f t="shared" si="64"/>
        <v>95000</v>
      </c>
      <c r="H80" s="154">
        <f t="shared" si="64"/>
        <v>134000</v>
      </c>
      <c r="I80" s="154">
        <f t="shared" si="64"/>
        <v>187000</v>
      </c>
      <c r="J80" s="154">
        <f t="shared" si="64"/>
        <v>263000</v>
      </c>
      <c r="K80" s="371">
        <v>0.05</v>
      </c>
    </row>
    <row r="81" spans="1:12" x14ac:dyDescent="0.25">
      <c r="A81" s="134" t="s">
        <v>168</v>
      </c>
      <c r="B81" s="171">
        <f t="shared" ref="B81:J81" si="65">ROUNDDOWN(B70*$K$81,-3)</f>
        <v>143000</v>
      </c>
      <c r="C81" s="171">
        <f t="shared" si="65"/>
        <v>186000</v>
      </c>
      <c r="D81" s="171">
        <f t="shared" si="65"/>
        <v>243000</v>
      </c>
      <c r="E81" s="456">
        <f t="shared" si="65"/>
        <v>315000</v>
      </c>
      <c r="F81" s="456">
        <f t="shared" si="65"/>
        <v>411000</v>
      </c>
      <c r="G81" s="456">
        <f t="shared" si="65"/>
        <v>575000</v>
      </c>
      <c r="H81" s="456">
        <f t="shared" si="65"/>
        <v>805000</v>
      </c>
      <c r="I81" s="456">
        <f t="shared" si="65"/>
        <v>1127000</v>
      </c>
      <c r="J81" s="456">
        <f t="shared" si="65"/>
        <v>1578000</v>
      </c>
      <c r="K81" s="457">
        <v>0.3</v>
      </c>
    </row>
    <row r="82" spans="1:12" x14ac:dyDescent="0.25">
      <c r="A82" s="134" t="s">
        <v>16</v>
      </c>
      <c r="B82" s="171">
        <f t="shared" ref="B82:J82" si="66">ROUNDDOWN(B70*$K$82,-3)</f>
        <v>93000</v>
      </c>
      <c r="C82" s="171">
        <f t="shared" si="66"/>
        <v>121000</v>
      </c>
      <c r="D82" s="171">
        <f t="shared" si="66"/>
        <v>157000</v>
      </c>
      <c r="E82" s="154">
        <f t="shared" si="66"/>
        <v>205000</v>
      </c>
      <c r="F82" s="154">
        <f t="shared" si="66"/>
        <v>267000</v>
      </c>
      <c r="G82" s="154">
        <f t="shared" si="66"/>
        <v>374000</v>
      </c>
      <c r="H82" s="154">
        <f t="shared" si="66"/>
        <v>523000</v>
      </c>
      <c r="I82" s="154">
        <f t="shared" si="66"/>
        <v>733000</v>
      </c>
      <c r="J82" s="154">
        <f t="shared" si="66"/>
        <v>1026000</v>
      </c>
      <c r="K82" s="371">
        <f>30%-(30%*35%)</f>
        <v>0.19500000000000001</v>
      </c>
    </row>
    <row r="83" spans="1:12" s="81" customFormat="1" ht="21" customHeight="1" x14ac:dyDescent="0.25">
      <c r="A83" s="68" t="s">
        <v>138</v>
      </c>
      <c r="B83" s="657">
        <f t="shared" ref="B83:I83" si="67">SUM(B68:B82)</f>
        <v>2362000</v>
      </c>
      <c r="C83" s="657">
        <f t="shared" si="67"/>
        <v>3077000</v>
      </c>
      <c r="D83" s="657">
        <f t="shared" si="67"/>
        <v>4006000</v>
      </c>
      <c r="E83" s="7">
        <f t="shared" si="67"/>
        <v>5205000</v>
      </c>
      <c r="F83" s="7">
        <f t="shared" si="67"/>
        <v>6780000</v>
      </c>
      <c r="G83" s="7">
        <f t="shared" si="67"/>
        <v>9488000</v>
      </c>
      <c r="H83" s="7">
        <f t="shared" si="67"/>
        <v>13285000</v>
      </c>
      <c r="I83" s="7">
        <f t="shared" si="67"/>
        <v>18599000</v>
      </c>
      <c r="J83" s="7">
        <f t="shared" ref="J83" si="68">SUM(J68:J82)</f>
        <v>26046000</v>
      </c>
      <c r="K83" s="126"/>
    </row>
    <row r="84" spans="1:12" s="81" customFormat="1" x14ac:dyDescent="0.25">
      <c r="A84" s="155"/>
      <c r="B84" s="658"/>
      <c r="C84" s="659"/>
      <c r="D84" s="659"/>
      <c r="E84" s="157"/>
      <c r="F84" s="157"/>
      <c r="G84" s="157"/>
      <c r="H84" s="156"/>
      <c r="I84" s="156"/>
      <c r="J84" s="156"/>
      <c r="K84" s="156"/>
      <c r="L84" s="158"/>
    </row>
    <row r="85" spans="1:12" s="81" customFormat="1" x14ac:dyDescent="0.25">
      <c r="A85" s="159" t="s">
        <v>333</v>
      </c>
      <c r="B85" s="647"/>
      <c r="C85" s="647"/>
      <c r="D85" s="647"/>
    </row>
    <row r="86" spans="1:12" x14ac:dyDescent="0.25">
      <c r="A86" s="160" t="s">
        <v>381</v>
      </c>
    </row>
    <row r="87" spans="1:12" x14ac:dyDescent="0.25">
      <c r="A87" s="160" t="s">
        <v>177</v>
      </c>
    </row>
    <row r="88" spans="1:12" x14ac:dyDescent="0.25">
      <c r="A88" s="160" t="s">
        <v>178</v>
      </c>
    </row>
  </sheetData>
  <mergeCells count="6">
    <mergeCell ref="L7:L8"/>
    <mergeCell ref="I33:I34"/>
    <mergeCell ref="A4:H4"/>
    <mergeCell ref="J6:K6"/>
    <mergeCell ref="A7:A8"/>
    <mergeCell ref="A33:A34"/>
  </mergeCells>
  <phoneticPr fontId="51" type="noConversion"/>
  <pageMargins left="0.31496062992125984" right="0.11811023622047245" top="0.55118110236220474" bottom="0.55118110236220474"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selection activeCell="A4" sqref="A4"/>
    </sheetView>
  </sheetViews>
  <sheetFormatPr defaultColWidth="11.42578125" defaultRowHeight="15" x14ac:dyDescent="0.25"/>
  <cols>
    <col min="1" max="1" width="35.28515625" customWidth="1"/>
  </cols>
  <sheetData>
    <row r="2" spans="1:6" ht="15.75" x14ac:dyDescent="0.25">
      <c r="A2" s="572" t="s">
        <v>0</v>
      </c>
      <c r="B2" s="83" t="s">
        <v>1</v>
      </c>
      <c r="C2" s="83" t="s">
        <v>2</v>
      </c>
      <c r="D2" s="83" t="s">
        <v>3</v>
      </c>
      <c r="E2" s="83" t="s">
        <v>4</v>
      </c>
      <c r="F2" s="574" t="s">
        <v>6</v>
      </c>
    </row>
    <row r="3" spans="1:6" ht="15.75" x14ac:dyDescent="0.25">
      <c r="A3" s="573"/>
      <c r="B3" s="128">
        <v>4.21</v>
      </c>
      <c r="C3" s="522">
        <f>B3*1.1</f>
        <v>4.6310000000000002</v>
      </c>
      <c r="D3" s="522">
        <f t="shared" ref="D3" si="0">C3*1.1</f>
        <v>5.094100000000001</v>
      </c>
      <c r="E3" s="522">
        <v>5.5</v>
      </c>
      <c r="F3" s="575"/>
    </row>
    <row r="4" spans="1:6" ht="15.75" x14ac:dyDescent="0.25">
      <c r="A4" s="129" t="s">
        <v>404</v>
      </c>
      <c r="B4" s="525"/>
      <c r="C4" s="526"/>
      <c r="D4" s="526"/>
      <c r="E4" s="526"/>
      <c r="F4" s="168"/>
    </row>
    <row r="5" spans="1:6" ht="15.75" x14ac:dyDescent="0.25">
      <c r="A5" s="147" t="s">
        <v>149</v>
      </c>
      <c r="B5" s="524">
        <f>ROUNDDOWN(B8*$F$35,-3)</f>
        <v>0</v>
      </c>
      <c r="C5" s="132">
        <f>ROUNDDOWN(C8*$F$35,-3)</f>
        <v>0</v>
      </c>
      <c r="D5" s="132">
        <f>ROUNDDOWN(D8*$F$35,-3)</f>
        <v>0</v>
      </c>
      <c r="E5" s="132">
        <f>ROUNDDOWN(E8*$F$35,-3)</f>
        <v>0</v>
      </c>
      <c r="F5" s="173">
        <v>0.8</v>
      </c>
    </row>
    <row r="6" spans="1:6" ht="15.75" x14ac:dyDescent="0.25">
      <c r="A6" s="147" t="s">
        <v>156</v>
      </c>
      <c r="B6" s="524">
        <f>ROUNDDOWN(B8*$F$36,-3)</f>
        <v>0</v>
      </c>
      <c r="C6" s="132">
        <f>ROUNDDOWN(C8*$F$36,-3)</f>
        <v>0</v>
      </c>
      <c r="D6" s="132">
        <f>ROUNDDOWN(D8*$F$36,-3)</f>
        <v>0</v>
      </c>
      <c r="E6" s="132">
        <f>ROUNDDOWN(E8*$F$36,-3)</f>
        <v>0</v>
      </c>
      <c r="F6" s="173">
        <v>0.7</v>
      </c>
    </row>
    <row r="7" spans="1:6" ht="15.75" x14ac:dyDescent="0.25">
      <c r="A7" s="147" t="s">
        <v>10</v>
      </c>
      <c r="B7" s="524">
        <f>ROUNDDOWN(B8*$F$37,-3)</f>
        <v>0</v>
      </c>
      <c r="C7" s="132">
        <f t="shared" ref="C7:E7" si="1">ROUNDDOWN(C8*20%,-3)</f>
        <v>0</v>
      </c>
      <c r="D7" s="132">
        <f t="shared" si="1"/>
        <v>0</v>
      </c>
      <c r="E7" s="132">
        <f t="shared" si="1"/>
        <v>0</v>
      </c>
      <c r="F7" s="173">
        <v>0.5</v>
      </c>
    </row>
    <row r="8" spans="1:6" ht="15.75" x14ac:dyDescent="0.25">
      <c r="A8" s="162" t="s">
        <v>157</v>
      </c>
      <c r="B8" s="527">
        <v>4.21</v>
      </c>
      <c r="C8" s="528">
        <f>B8*1.1</f>
        <v>4.6310000000000002</v>
      </c>
      <c r="D8" s="528">
        <f t="shared" ref="D8" si="2">C8*1.1</f>
        <v>5.094100000000001</v>
      </c>
      <c r="E8" s="528">
        <v>5.5</v>
      </c>
      <c r="F8" s="167" t="s">
        <v>11</v>
      </c>
    </row>
    <row r="9" spans="1:6" ht="15.75" x14ac:dyDescent="0.25">
      <c r="A9" s="150" t="s">
        <v>158</v>
      </c>
      <c r="B9" s="524">
        <f>ROUNDDOWN(B8*$F$39,-3)</f>
        <v>0</v>
      </c>
      <c r="C9" s="132">
        <f>ROUNDDOWN(C8*$F$39,-3)</f>
        <v>0</v>
      </c>
      <c r="D9" s="132">
        <f>ROUNDDOWN(D8*$F$39,-3)</f>
        <v>0</v>
      </c>
      <c r="E9" s="132">
        <f>ROUNDDOWN(E8*$F$39,-3)</f>
        <v>0</v>
      </c>
      <c r="F9" s="173">
        <v>0.1</v>
      </c>
    </row>
    <row r="10" spans="1:6" ht="15.75" x14ac:dyDescent="0.25">
      <c r="A10" s="150" t="s">
        <v>159</v>
      </c>
      <c r="B10" s="524">
        <f>ROUNDDOWN(B8*$F$40,-3)</f>
        <v>0</v>
      </c>
      <c r="C10" s="132">
        <f>ROUNDDOWN(C8*$F$40,-3)</f>
        <v>0</v>
      </c>
      <c r="D10" s="132">
        <f>ROUNDDOWN(D8*$F$40,-3)</f>
        <v>0</v>
      </c>
      <c r="E10" s="132">
        <f>ROUNDDOWN(E8*$F$40,-3)</f>
        <v>0</v>
      </c>
      <c r="F10" s="173">
        <v>0.2</v>
      </c>
    </row>
    <row r="11" spans="1:6" ht="15.75" x14ac:dyDescent="0.25">
      <c r="A11" s="150" t="s">
        <v>160</v>
      </c>
      <c r="B11" s="524">
        <f>ROUNDDOWN(B8*$F$41,-3)</f>
        <v>0</v>
      </c>
      <c r="C11" s="132">
        <f>ROUNDDOWN(C8*$F$41,-3)</f>
        <v>0</v>
      </c>
      <c r="D11" s="132">
        <f>ROUNDDOWN(D8*$F$41,-3)</f>
        <v>0</v>
      </c>
      <c r="E11" s="132">
        <f>ROUNDDOWN(E8*$F$41,-3)</f>
        <v>0</v>
      </c>
      <c r="F11" s="173">
        <v>1</v>
      </c>
    </row>
    <row r="12" spans="1:6" ht="15.75" x14ac:dyDescent="0.25">
      <c r="A12" s="150" t="s">
        <v>161</v>
      </c>
      <c r="B12" s="527">
        <v>4.21</v>
      </c>
      <c r="C12" s="528">
        <f>B12*1.1</f>
        <v>4.6310000000000002</v>
      </c>
      <c r="D12" s="528">
        <f t="shared" ref="D12" si="3">C12*1.1</f>
        <v>5.094100000000001</v>
      </c>
      <c r="E12" s="528">
        <v>5.5</v>
      </c>
      <c r="F12" s="173"/>
    </row>
    <row r="13" spans="1:6" ht="15.75" x14ac:dyDescent="0.25">
      <c r="A13" s="147" t="s">
        <v>162</v>
      </c>
      <c r="B13" s="523">
        <v>2.15</v>
      </c>
      <c r="C13" s="523">
        <f>B13*1.15</f>
        <v>2.4724999999999997</v>
      </c>
      <c r="D13" s="523">
        <f t="shared" ref="D13:E13" si="4">C13*1.1</f>
        <v>2.7197499999999999</v>
      </c>
      <c r="E13" s="523">
        <f t="shared" si="4"/>
        <v>2.9917250000000002</v>
      </c>
      <c r="F13" s="173"/>
    </row>
    <row r="14" spans="1:6" ht="15.75" x14ac:dyDescent="0.25">
      <c r="A14" s="147" t="s">
        <v>163</v>
      </c>
      <c r="B14" s="132">
        <f>ROUNDDOWN(B8*$F$44,-3)</f>
        <v>0</v>
      </c>
      <c r="D14" s="132">
        <f>ROUNDDOWN(D8*$F$44,-3)</f>
        <v>0</v>
      </c>
      <c r="E14" s="132">
        <f>ROUNDDOWN(E8*$F$44,-3)</f>
        <v>0</v>
      </c>
      <c r="F14" s="173">
        <v>0.2</v>
      </c>
    </row>
    <row r="15" spans="1:6" ht="15.75" x14ac:dyDescent="0.25">
      <c r="A15" s="150" t="s">
        <v>164</v>
      </c>
      <c r="B15" s="132">
        <f>ROUNDDOWN(B8*$F$45,-3)</f>
        <v>0</v>
      </c>
      <c r="C15" s="132">
        <f>ROUNDDOWN(C8*$F$45,-3)</f>
        <v>0</v>
      </c>
      <c r="D15" s="132">
        <f>ROUNDDOWN(D8*$F$45,-3)</f>
        <v>0</v>
      </c>
      <c r="E15" s="132">
        <f>ROUNDDOWN(E8*$F$45,-3)</f>
        <v>0</v>
      </c>
      <c r="F15" s="173">
        <v>0.15</v>
      </c>
    </row>
    <row r="16" spans="1:6" ht="15.75" x14ac:dyDescent="0.25">
      <c r="A16" s="150" t="s">
        <v>165</v>
      </c>
      <c r="B16" s="132">
        <f>ROUNDDOWN(B8*$F$46,-3)</f>
        <v>0</v>
      </c>
      <c r="C16" s="132">
        <f>ROUNDDOWN(C8*$F$46,-3)</f>
        <v>0</v>
      </c>
      <c r="D16" s="132">
        <f>ROUNDDOWN(D8*$F$46,-3)</f>
        <v>0</v>
      </c>
      <c r="E16" s="132">
        <f>ROUNDDOWN(E8*$F$46,-3)</f>
        <v>0</v>
      </c>
      <c r="F16" s="173">
        <v>0.3</v>
      </c>
    </row>
    <row r="17" spans="1:6" ht="31.5" x14ac:dyDescent="0.25">
      <c r="A17" s="520" t="s">
        <v>403</v>
      </c>
      <c r="B17" s="163">
        <f>ROUNDDOWN(B8*$F$47,-3)</f>
        <v>0</v>
      </c>
      <c r="C17" s="163">
        <f>ROUNDDOWN(C8*$F$47,-3)</f>
        <v>0</v>
      </c>
      <c r="D17" s="163">
        <f>ROUNDDOWN(D8*$F$47,-3)</f>
        <v>0</v>
      </c>
      <c r="E17" s="163">
        <f>ROUNDDOWN(E8*$F$47,-3)</f>
        <v>0</v>
      </c>
      <c r="F17" s="173">
        <v>0.3</v>
      </c>
    </row>
    <row r="18" spans="1:6" ht="31.5" x14ac:dyDescent="0.25">
      <c r="A18" s="147" t="s">
        <v>166</v>
      </c>
      <c r="B18" s="523">
        <v>0.86</v>
      </c>
      <c r="C18" s="523">
        <f>B18*1.35</f>
        <v>1.161</v>
      </c>
      <c r="D18" s="523">
        <f t="shared" ref="D18:E18" si="5">C18*1.1</f>
        <v>1.2771000000000001</v>
      </c>
      <c r="E18" s="523">
        <f t="shared" si="5"/>
        <v>1.4048100000000003</v>
      </c>
      <c r="F18" s="173"/>
    </row>
    <row r="19" spans="1:6" ht="15.75" x14ac:dyDescent="0.25">
      <c r="A19" s="150" t="s">
        <v>152</v>
      </c>
      <c r="B19" s="523">
        <v>0.43</v>
      </c>
      <c r="C19" s="523">
        <f>B19*1.54</f>
        <v>0.66220000000000001</v>
      </c>
      <c r="D19" s="523">
        <f>C19*1.1</f>
        <v>0.72842000000000007</v>
      </c>
      <c r="E19" s="523">
        <f t="shared" ref="E19" si="6">D19*1.1</f>
        <v>0.80126200000000014</v>
      </c>
      <c r="F19" s="173"/>
    </row>
    <row r="20" spans="1:6" ht="15.75" x14ac:dyDescent="0.25">
      <c r="A20" s="150" t="s">
        <v>167</v>
      </c>
      <c r="B20" s="132">
        <f>ROUNDDOWN(B8*$F$50,-3)</f>
        <v>0</v>
      </c>
      <c r="C20" s="132">
        <f>ROUNDDOWN(C8*$F$50,-3)</f>
        <v>0</v>
      </c>
      <c r="D20" s="132">
        <f>ROUNDDOWN(D8*$F$50,-3)</f>
        <v>0</v>
      </c>
      <c r="E20" s="132">
        <f>ROUNDDOWN(E8*$F$50,-3)</f>
        <v>0</v>
      </c>
      <c r="F20" s="173">
        <v>0.05</v>
      </c>
    </row>
    <row r="21" spans="1:6" ht="15.75" x14ac:dyDescent="0.25">
      <c r="A21" s="150" t="s">
        <v>168</v>
      </c>
      <c r="B21" s="132">
        <f>ROUNDDOWN(B8*$F$51,-3)</f>
        <v>0</v>
      </c>
      <c r="C21" s="132">
        <f>ROUNDDOWN(C8*$F$51,-3)</f>
        <v>0</v>
      </c>
      <c r="D21" s="132">
        <f>ROUNDDOWN(D8*$F$51,-3)</f>
        <v>0</v>
      </c>
      <c r="E21" s="132">
        <f>ROUNDDOWN(E8*$F$51,-3)</f>
        <v>0</v>
      </c>
      <c r="F21" s="173">
        <v>0.2</v>
      </c>
    </row>
    <row r="22" spans="1:6" ht="15.75" x14ac:dyDescent="0.25">
      <c r="A22" s="147" t="s">
        <v>16</v>
      </c>
      <c r="B22" s="132">
        <f>ROUNDDOWN(B8*$F$52,-3)</f>
        <v>0</v>
      </c>
      <c r="C22" s="132">
        <f>ROUNDDOWN(C8*$F$52,-3)</f>
        <v>0</v>
      </c>
      <c r="D22" s="132">
        <f>ROUNDDOWN(D8*$F$52,-3)</f>
        <v>0</v>
      </c>
      <c r="E22" s="132">
        <f>ROUNDDOWN(E8*$F$52,-3)</f>
        <v>0</v>
      </c>
      <c r="F22" s="173">
        <v>0.2</v>
      </c>
    </row>
    <row r="23" spans="1:6" ht="15.75" x14ac:dyDescent="0.25">
      <c r="A23" s="147" t="s">
        <v>169</v>
      </c>
      <c r="B23" s="132">
        <f>ROUNDDOWN(B8*$F$53,-3)</f>
        <v>0</v>
      </c>
      <c r="C23" s="132">
        <f>ROUNDDOWN(C8*$F$53,-3)</f>
        <v>0</v>
      </c>
      <c r="D23" s="132">
        <f>ROUNDDOWN(D8*$F$53,-3)</f>
        <v>0</v>
      </c>
      <c r="E23" s="132">
        <f>ROUNDDOWN(E8*$F$53,-3)</f>
        <v>0</v>
      </c>
      <c r="F23" s="467">
        <v>0.2</v>
      </c>
    </row>
    <row r="24" spans="1:6" ht="15.75" x14ac:dyDescent="0.25">
      <c r="A24" s="136" t="s">
        <v>138</v>
      </c>
      <c r="B24" s="137"/>
      <c r="C24" s="137"/>
      <c r="D24" s="137"/>
      <c r="E24" s="137"/>
      <c r="F24" s="466"/>
    </row>
    <row r="26" spans="1:6" x14ac:dyDescent="0.25">
      <c r="A26" s="663">
        <f>E8*3000000000/100</f>
        <v>165000000</v>
      </c>
    </row>
    <row r="27" spans="1:6" x14ac:dyDescent="0.25">
      <c r="A27" s="662">
        <f>A26/200</f>
        <v>825000</v>
      </c>
    </row>
  </sheetData>
  <mergeCells count="2">
    <mergeCell ref="A2:A3"/>
    <mergeCell ref="F2: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10" workbookViewId="0">
      <selection activeCell="A34" sqref="A34"/>
    </sheetView>
  </sheetViews>
  <sheetFormatPr defaultColWidth="11.42578125" defaultRowHeight="15" x14ac:dyDescent="0.25"/>
  <cols>
    <col min="1" max="1" width="38.140625" bestFit="1" customWidth="1"/>
  </cols>
  <sheetData>
    <row r="1" spans="1:8" ht="15.75" x14ac:dyDescent="0.25">
      <c r="A1" s="144"/>
      <c r="B1" s="496"/>
      <c r="C1" s="496"/>
      <c r="D1" s="144"/>
      <c r="E1" s="144"/>
      <c r="F1" s="144"/>
      <c r="G1" s="144"/>
    </row>
    <row r="2" spans="1:8" ht="15.75" x14ac:dyDescent="0.25">
      <c r="A2" s="144"/>
      <c r="B2" s="144"/>
      <c r="C2" s="496"/>
      <c r="D2" s="144"/>
      <c r="E2" s="144"/>
      <c r="F2" s="144"/>
      <c r="G2" s="144"/>
    </row>
    <row r="3" spans="1:8" ht="16.5" x14ac:dyDescent="0.25">
      <c r="A3" s="316" t="s">
        <v>405</v>
      </c>
      <c r="B3" s="322"/>
      <c r="C3" s="322"/>
      <c r="D3" s="322"/>
      <c r="E3" s="322"/>
      <c r="F3" s="322"/>
      <c r="G3" s="322"/>
    </row>
    <row r="4" spans="1:8" ht="18.75" x14ac:dyDescent="0.25">
      <c r="A4" s="530"/>
      <c r="B4" s="530"/>
      <c r="C4" s="530"/>
      <c r="D4" s="531"/>
      <c r="E4" s="531"/>
      <c r="F4" s="531"/>
      <c r="G4" s="531">
        <v>234000</v>
      </c>
    </row>
    <row r="5" spans="1:8" s="326" customFormat="1" ht="18" customHeight="1" x14ac:dyDescent="0.25">
      <c r="A5" s="577" t="s">
        <v>308</v>
      </c>
      <c r="B5" s="451" t="s">
        <v>4</v>
      </c>
      <c r="C5" s="394" t="s">
        <v>5</v>
      </c>
      <c r="D5" s="394" t="s">
        <v>125</v>
      </c>
      <c r="E5" s="394" t="s">
        <v>126</v>
      </c>
      <c r="F5" s="394" t="s">
        <v>127</v>
      </c>
      <c r="G5" s="394" t="s">
        <v>146</v>
      </c>
      <c r="H5" s="579" t="s">
        <v>6</v>
      </c>
    </row>
    <row r="6" spans="1:8" s="326" customFormat="1" ht="18" customHeight="1" x14ac:dyDescent="0.25">
      <c r="A6" s="578"/>
      <c r="B6" s="450">
        <v>0.16</v>
      </c>
      <c r="C6" s="395">
        <f>B6*1.25</f>
        <v>0.2</v>
      </c>
      <c r="D6" s="395">
        <f>C6*1.25</f>
        <v>0.25</v>
      </c>
      <c r="E6" s="450">
        <f>D6*1.25</f>
        <v>0.3125</v>
      </c>
      <c r="F6" s="395">
        <f>E6*1.25</f>
        <v>0.390625</v>
      </c>
      <c r="G6" s="395">
        <f>F6*1.25</f>
        <v>0.48828125</v>
      </c>
      <c r="H6" s="580"/>
    </row>
    <row r="7" spans="1:8" ht="21" customHeight="1" x14ac:dyDescent="0.25">
      <c r="A7" s="324" t="s">
        <v>309</v>
      </c>
      <c r="B7" s="455"/>
      <c r="C7" s="325"/>
      <c r="D7" s="325"/>
      <c r="E7" s="325"/>
      <c r="F7" s="369"/>
      <c r="G7" s="369"/>
      <c r="H7" s="334"/>
    </row>
    <row r="8" spans="1:8" ht="21" customHeight="1" x14ac:dyDescent="0.25">
      <c r="A8" s="329" t="s">
        <v>12</v>
      </c>
      <c r="B8" s="452">
        <f>ROUNDDOWN(B6*$G$4,-3)</f>
        <v>37000</v>
      </c>
      <c r="C8" s="452">
        <f t="shared" ref="C8:G8" si="0">ROUNDDOWN(C6*$G$4,-3)</f>
        <v>46000</v>
      </c>
      <c r="D8" s="452">
        <f t="shared" si="0"/>
        <v>58000</v>
      </c>
      <c r="E8" s="452">
        <f t="shared" si="0"/>
        <v>73000</v>
      </c>
      <c r="F8" s="452">
        <f t="shared" si="0"/>
        <v>91000</v>
      </c>
      <c r="G8" s="452">
        <f t="shared" si="0"/>
        <v>114000</v>
      </c>
      <c r="H8" s="335">
        <v>1</v>
      </c>
    </row>
    <row r="9" spans="1:8" ht="21" customHeight="1" x14ac:dyDescent="0.25">
      <c r="A9" s="331" t="s">
        <v>407</v>
      </c>
      <c r="B9" s="453">
        <f>ROUNDDOWN(B8*$H$9,-3)</f>
        <v>16000</v>
      </c>
      <c r="C9" s="453">
        <f>ROUNDDOWN(C8*$H$9,-3)</f>
        <v>20000</v>
      </c>
      <c r="D9" s="453"/>
      <c r="E9" s="453"/>
      <c r="F9" s="453"/>
      <c r="G9" s="453"/>
      <c r="H9" s="336">
        <f>45%</f>
        <v>0.45</v>
      </c>
    </row>
    <row r="10" spans="1:8" s="326" customFormat="1" ht="21" customHeight="1" x14ac:dyDescent="0.25">
      <c r="A10" s="331" t="s">
        <v>151</v>
      </c>
      <c r="B10" s="453"/>
      <c r="C10" s="332"/>
      <c r="D10" s="332">
        <f>ROUNDDOWN(D8*$H$10,-3)</f>
        <v>37000</v>
      </c>
      <c r="E10" s="332">
        <f>ROUNDDOWN(E8*$H$10,-3)</f>
        <v>47000</v>
      </c>
      <c r="F10" s="332">
        <f>ROUNDDOWN(F8*$H$10,-3)</f>
        <v>59000</v>
      </c>
      <c r="G10" s="332">
        <f>ROUNDDOWN(G8*$H$10,-3)</f>
        <v>74000</v>
      </c>
      <c r="H10" s="336">
        <f>65%</f>
        <v>0.65</v>
      </c>
    </row>
    <row r="11" spans="1:8" s="326" customFormat="1" ht="21" customHeight="1" x14ac:dyDescent="0.25">
      <c r="A11" s="391" t="s">
        <v>138</v>
      </c>
      <c r="B11" s="454">
        <f t="shared" ref="B11:G11" si="1">B8+B10</f>
        <v>37000</v>
      </c>
      <c r="C11" s="392">
        <f t="shared" si="1"/>
        <v>46000</v>
      </c>
      <c r="D11" s="392">
        <f t="shared" si="1"/>
        <v>95000</v>
      </c>
      <c r="E11" s="392">
        <f t="shared" si="1"/>
        <v>120000</v>
      </c>
      <c r="F11" s="392">
        <f t="shared" si="1"/>
        <v>150000</v>
      </c>
      <c r="G11" s="392">
        <f t="shared" si="1"/>
        <v>188000</v>
      </c>
      <c r="H11" s="393"/>
    </row>
    <row r="12" spans="1:8" s="326" customFormat="1" ht="20.25" customHeight="1" x14ac:dyDescent="0.25">
      <c r="A12" s="389" t="s">
        <v>406</v>
      </c>
      <c r="B12" s="396"/>
      <c r="C12" s="396"/>
      <c r="D12" s="396"/>
      <c r="E12" s="396"/>
      <c r="F12" s="396"/>
      <c r="G12" s="396"/>
      <c r="H12" s="390"/>
    </row>
    <row r="13" spans="1:8" ht="16.5" x14ac:dyDescent="0.25">
      <c r="A13" s="535"/>
      <c r="B13" s="322"/>
      <c r="C13" s="322"/>
      <c r="D13" s="322"/>
      <c r="E13" s="322"/>
      <c r="F13" s="322"/>
      <c r="G13" s="322"/>
    </row>
    <row r="14" spans="1:8" ht="16.5" x14ac:dyDescent="0.25">
      <c r="A14" s="532" t="s">
        <v>408</v>
      </c>
      <c r="B14" s="322"/>
      <c r="C14" s="322"/>
      <c r="D14" s="322"/>
      <c r="E14" s="322"/>
      <c r="F14" s="322"/>
      <c r="G14" s="322"/>
    </row>
    <row r="15" spans="1:8" ht="16.5" x14ac:dyDescent="0.25">
      <c r="A15" s="532"/>
      <c r="B15" s="322"/>
      <c r="C15" s="322"/>
      <c r="D15" s="322"/>
      <c r="E15" s="322"/>
      <c r="F15" s="322"/>
      <c r="G15" s="322">
        <v>234000</v>
      </c>
    </row>
    <row r="16" spans="1:8" ht="16.5" x14ac:dyDescent="0.25">
      <c r="A16" s="534"/>
      <c r="B16" s="536">
        <v>0.7</v>
      </c>
      <c r="C16" s="536">
        <v>0.6</v>
      </c>
      <c r="D16" s="536">
        <v>0.5</v>
      </c>
      <c r="E16" s="322"/>
      <c r="F16" s="322"/>
      <c r="G16" s="322"/>
    </row>
    <row r="17" spans="1:8" x14ac:dyDescent="0.25">
      <c r="A17" s="572" t="s">
        <v>145</v>
      </c>
      <c r="B17" s="451" t="s">
        <v>4</v>
      </c>
      <c r="C17" s="394" t="s">
        <v>5</v>
      </c>
      <c r="D17" s="394" t="s">
        <v>125</v>
      </c>
      <c r="E17" s="394" t="s">
        <v>126</v>
      </c>
      <c r="F17" s="394" t="s">
        <v>127</v>
      </c>
      <c r="G17" s="394" t="s">
        <v>146</v>
      </c>
      <c r="H17" s="579" t="s">
        <v>6</v>
      </c>
    </row>
    <row r="18" spans="1:8" x14ac:dyDescent="0.25">
      <c r="A18" s="573"/>
      <c r="B18" s="450">
        <v>0.21</v>
      </c>
      <c r="C18" s="395">
        <f>B18*1.35</f>
        <v>0.28350000000000003</v>
      </c>
      <c r="D18" s="395">
        <f>C18*1.3</f>
        <v>0.36855000000000004</v>
      </c>
      <c r="E18" s="450">
        <f>D18*2.8</f>
        <v>1.0319400000000001</v>
      </c>
      <c r="F18" s="395">
        <f>E18*1.25</f>
        <v>1.2899250000000002</v>
      </c>
      <c r="G18" s="395">
        <f>F18*1.25</f>
        <v>1.6124062500000003</v>
      </c>
      <c r="H18" s="580"/>
    </row>
    <row r="19" spans="1:8" ht="15.75" x14ac:dyDescent="0.25">
      <c r="A19" s="468" t="s">
        <v>148</v>
      </c>
      <c r="B19" s="322"/>
      <c r="C19" s="322"/>
      <c r="D19" s="322"/>
      <c r="E19" s="322"/>
      <c r="F19" s="322"/>
      <c r="G19" s="322"/>
      <c r="H19" s="558"/>
    </row>
    <row r="20" spans="1:8" ht="15.75" x14ac:dyDescent="0.25">
      <c r="A20" s="131" t="s">
        <v>149</v>
      </c>
      <c r="B20" s="132">
        <f>ROUNDDOWN(B23*$H$20,-3)</f>
        <v>24000</v>
      </c>
      <c r="C20" s="132">
        <f t="shared" ref="C20:G20" si="2">ROUNDDOWN(C23*$H$20,-3)</f>
        <v>33000</v>
      </c>
      <c r="D20" s="132">
        <f t="shared" si="2"/>
        <v>43000</v>
      </c>
      <c r="E20" s="132">
        <f t="shared" si="2"/>
        <v>120000</v>
      </c>
      <c r="F20" s="132">
        <f t="shared" si="2"/>
        <v>150000</v>
      </c>
      <c r="G20" s="555">
        <f t="shared" si="2"/>
        <v>188000</v>
      </c>
      <c r="H20" s="559">
        <v>0.5</v>
      </c>
    </row>
    <row r="21" spans="1:8" ht="15.75" x14ac:dyDescent="0.25">
      <c r="A21" s="131" t="s">
        <v>150</v>
      </c>
      <c r="B21" s="132">
        <f>ROUNDDOWN(B23*$H$21,-3)</f>
        <v>24000</v>
      </c>
      <c r="C21" s="132">
        <f t="shared" ref="C21:G21" si="3">ROUNDDOWN(C23*$H$21,-3)</f>
        <v>33000</v>
      </c>
      <c r="D21" s="132">
        <f t="shared" si="3"/>
        <v>43000</v>
      </c>
      <c r="E21" s="132">
        <f t="shared" si="3"/>
        <v>120000</v>
      </c>
      <c r="F21" s="132">
        <f t="shared" si="3"/>
        <v>150000</v>
      </c>
      <c r="G21" s="555">
        <f t="shared" si="3"/>
        <v>188000</v>
      </c>
      <c r="H21" s="559">
        <v>0.5</v>
      </c>
    </row>
    <row r="22" spans="1:8" ht="15.75" x14ac:dyDescent="0.25">
      <c r="A22" s="131" t="s">
        <v>16</v>
      </c>
      <c r="B22" s="132">
        <f>ROUNDDOWN(B23*$H$22,-3)</f>
        <v>24000</v>
      </c>
      <c r="C22" s="132">
        <f t="shared" ref="C22:G22" si="4">ROUNDDOWN(C23*$H$22,-3)</f>
        <v>33000</v>
      </c>
      <c r="D22" s="132">
        <f t="shared" si="4"/>
        <v>43000</v>
      </c>
      <c r="E22" s="132">
        <f t="shared" si="4"/>
        <v>120000</v>
      </c>
      <c r="F22" s="132">
        <f t="shared" si="4"/>
        <v>150000</v>
      </c>
      <c r="G22" s="555">
        <f t="shared" si="4"/>
        <v>188000</v>
      </c>
      <c r="H22" s="559">
        <v>0.5</v>
      </c>
    </row>
    <row r="23" spans="1:8" ht="15.75" x14ac:dyDescent="0.25">
      <c r="A23" s="134" t="s">
        <v>128</v>
      </c>
      <c r="B23" s="163">
        <f>ROUNDDOWN(B18*$G$15,-3)</f>
        <v>49000</v>
      </c>
      <c r="C23" s="163">
        <f t="shared" ref="C23:G23" si="5">ROUNDDOWN(C18*$G$15,-3)</f>
        <v>66000</v>
      </c>
      <c r="D23" s="163">
        <f t="shared" si="5"/>
        <v>86000</v>
      </c>
      <c r="E23" s="163">
        <f>ROUNDDOWN(E18*$G$15,-3)</f>
        <v>241000</v>
      </c>
      <c r="F23" s="163">
        <f t="shared" si="5"/>
        <v>301000</v>
      </c>
      <c r="G23" s="556">
        <f t="shared" si="5"/>
        <v>377000</v>
      </c>
      <c r="H23" s="559">
        <v>1</v>
      </c>
    </row>
    <row r="24" spans="1:8" ht="15.75" x14ac:dyDescent="0.25">
      <c r="A24" s="131" t="s">
        <v>151</v>
      </c>
      <c r="B24" s="132">
        <f>ROUNDDOWN(B23*$H$24,-3)</f>
        <v>34000</v>
      </c>
      <c r="C24" s="132">
        <f t="shared" ref="C24:G29" si="6">ROUNDDOWN(C23*$H$24,-3)</f>
        <v>46000</v>
      </c>
      <c r="D24" s="132">
        <f t="shared" si="6"/>
        <v>60000</v>
      </c>
      <c r="E24" s="132">
        <f t="shared" si="6"/>
        <v>168000</v>
      </c>
      <c r="F24" s="132">
        <f t="shared" si="6"/>
        <v>210000</v>
      </c>
      <c r="G24" s="555">
        <f t="shared" si="6"/>
        <v>263000</v>
      </c>
      <c r="H24" s="559">
        <v>0.7</v>
      </c>
    </row>
    <row r="25" spans="1:8" ht="15.75" x14ac:dyDescent="0.25">
      <c r="A25" s="134" t="s">
        <v>165</v>
      </c>
      <c r="B25" s="132">
        <f>ROUNDDOWN(B23*$H$25,-3)</f>
        <v>14000</v>
      </c>
      <c r="C25" s="132">
        <f t="shared" ref="C25:G25" si="7">ROUNDDOWN(C23*$H$25,-3)</f>
        <v>19000</v>
      </c>
      <c r="D25" s="132">
        <f t="shared" si="7"/>
        <v>25000</v>
      </c>
      <c r="E25" s="132">
        <f t="shared" si="7"/>
        <v>72000</v>
      </c>
      <c r="F25" s="132">
        <f t="shared" si="7"/>
        <v>90000</v>
      </c>
      <c r="G25" s="555">
        <f t="shared" si="7"/>
        <v>113000</v>
      </c>
      <c r="H25" s="559">
        <v>0.3</v>
      </c>
    </row>
    <row r="26" spans="1:8" ht="15.75" x14ac:dyDescent="0.25">
      <c r="A26" s="134" t="s">
        <v>26</v>
      </c>
      <c r="B26" s="132">
        <f t="shared" ref="B26:G26" si="8">ROUNDDOWN(B24*$H$24,-3)</f>
        <v>23000</v>
      </c>
      <c r="C26" s="132">
        <f t="shared" si="8"/>
        <v>32000</v>
      </c>
      <c r="D26" s="132">
        <f t="shared" si="8"/>
        <v>42000</v>
      </c>
      <c r="E26" s="132">
        <f t="shared" si="8"/>
        <v>117000</v>
      </c>
      <c r="F26" s="132">
        <f t="shared" si="8"/>
        <v>147000</v>
      </c>
      <c r="G26" s="555">
        <f t="shared" si="8"/>
        <v>184000</v>
      </c>
      <c r="H26" s="559">
        <v>0.1</v>
      </c>
    </row>
    <row r="27" spans="1:8" ht="15.75" x14ac:dyDescent="0.25">
      <c r="A27" s="134" t="s">
        <v>152</v>
      </c>
      <c r="B27" s="132">
        <f t="shared" ref="B27:B29" si="9">ROUNDDOWN(B26*$H$24,-3)</f>
        <v>16000</v>
      </c>
      <c r="C27" s="132">
        <f t="shared" si="6"/>
        <v>22000</v>
      </c>
      <c r="D27" s="132">
        <f t="shared" si="6"/>
        <v>29000</v>
      </c>
      <c r="E27" s="132">
        <f t="shared" si="6"/>
        <v>81000</v>
      </c>
      <c r="F27" s="132">
        <f t="shared" si="6"/>
        <v>102000</v>
      </c>
      <c r="G27" s="555">
        <f t="shared" si="6"/>
        <v>128000</v>
      </c>
      <c r="H27" s="559">
        <v>0.3</v>
      </c>
    </row>
    <row r="28" spans="1:8" ht="15.75" x14ac:dyDescent="0.25">
      <c r="A28" s="134" t="s">
        <v>153</v>
      </c>
      <c r="B28" s="132">
        <f t="shared" si="9"/>
        <v>11000</v>
      </c>
      <c r="C28" s="132">
        <f t="shared" si="6"/>
        <v>15000</v>
      </c>
      <c r="D28" s="132">
        <f t="shared" si="6"/>
        <v>20000</v>
      </c>
      <c r="E28" s="132">
        <f t="shared" si="6"/>
        <v>56000</v>
      </c>
      <c r="F28" s="132">
        <f t="shared" si="6"/>
        <v>71000</v>
      </c>
      <c r="G28" s="555">
        <f t="shared" si="6"/>
        <v>89000</v>
      </c>
      <c r="H28" s="559">
        <v>0.05</v>
      </c>
    </row>
    <row r="29" spans="1:8" ht="15.75" x14ac:dyDescent="0.25">
      <c r="A29" s="134" t="s">
        <v>154</v>
      </c>
      <c r="B29" s="132">
        <f t="shared" si="9"/>
        <v>7000</v>
      </c>
      <c r="C29" s="132">
        <f t="shared" si="6"/>
        <v>10000</v>
      </c>
      <c r="D29" s="132">
        <f t="shared" si="6"/>
        <v>14000</v>
      </c>
      <c r="E29" s="132">
        <f t="shared" si="6"/>
        <v>39000</v>
      </c>
      <c r="F29" s="132">
        <f t="shared" si="6"/>
        <v>49000</v>
      </c>
      <c r="G29" s="555">
        <f t="shared" si="6"/>
        <v>62000</v>
      </c>
      <c r="H29" s="559">
        <v>0.2</v>
      </c>
    </row>
    <row r="30" spans="1:8" ht="15.75" x14ac:dyDescent="0.25">
      <c r="A30" s="136" t="s">
        <v>138</v>
      </c>
      <c r="B30" s="137">
        <f t="shared" ref="B30:G30" si="10">SUM(B20:B29)</f>
        <v>226000</v>
      </c>
      <c r="C30" s="137">
        <f t="shared" si="10"/>
        <v>309000</v>
      </c>
      <c r="D30" s="137">
        <f t="shared" si="10"/>
        <v>405000</v>
      </c>
      <c r="E30" s="137">
        <f t="shared" si="10"/>
        <v>1134000</v>
      </c>
      <c r="F30" s="137">
        <f t="shared" si="10"/>
        <v>1420000</v>
      </c>
      <c r="G30" s="557">
        <f t="shared" si="10"/>
        <v>1780000</v>
      </c>
      <c r="H30" s="363"/>
    </row>
    <row r="31" spans="1:8" ht="16.5" x14ac:dyDescent="0.25">
      <c r="A31" s="316"/>
      <c r="B31" s="322"/>
      <c r="C31" s="322"/>
      <c r="D31" s="322"/>
      <c r="E31" s="322"/>
      <c r="F31" s="322"/>
      <c r="G31" s="322"/>
    </row>
    <row r="32" spans="1:8" x14ac:dyDescent="0.25">
      <c r="A32" s="572" t="s">
        <v>145</v>
      </c>
      <c r="B32" s="451" t="s">
        <v>4</v>
      </c>
      <c r="C32" s="394" t="s">
        <v>5</v>
      </c>
      <c r="D32" s="394" t="s">
        <v>125</v>
      </c>
      <c r="E32" s="394" t="s">
        <v>126</v>
      </c>
      <c r="F32" s="394" t="s">
        <v>127</v>
      </c>
      <c r="G32" s="394" t="s">
        <v>146</v>
      </c>
      <c r="H32" s="579" t="s">
        <v>6</v>
      </c>
    </row>
    <row r="33" spans="1:8" x14ac:dyDescent="0.25">
      <c r="A33" s="573"/>
      <c r="B33" s="450">
        <v>1.9</v>
      </c>
      <c r="C33" s="395">
        <f>B33*1.35</f>
        <v>2.5649999999999999</v>
      </c>
      <c r="D33" s="395">
        <f>C33*1.3</f>
        <v>3.3345000000000002</v>
      </c>
      <c r="E33" s="450">
        <f>D33*2.8</f>
        <v>9.3366000000000007</v>
      </c>
      <c r="F33" s="395">
        <f>E33*1.25</f>
        <v>11.670750000000002</v>
      </c>
      <c r="G33" s="395">
        <f>F33*1.25</f>
        <v>14.588437500000001</v>
      </c>
      <c r="H33" s="580"/>
    </row>
    <row r="34" spans="1:8" ht="16.5" x14ac:dyDescent="0.25">
      <c r="A34" s="316" t="s">
        <v>413</v>
      </c>
      <c r="B34" s="322"/>
      <c r="C34" s="322"/>
      <c r="D34" s="322"/>
      <c r="E34" s="322"/>
      <c r="F34" s="322"/>
      <c r="G34" s="322"/>
    </row>
    <row r="35" spans="1:8" ht="16.5" x14ac:dyDescent="0.25">
      <c r="A35" s="561" t="s">
        <v>149</v>
      </c>
      <c r="B35" s="562"/>
      <c r="C35" s="322"/>
      <c r="D35" s="322"/>
      <c r="E35" s="322"/>
      <c r="F35" s="322"/>
      <c r="G35" s="322"/>
    </row>
    <row r="36" spans="1:8" ht="16.5" x14ac:dyDescent="0.25">
      <c r="A36" s="561" t="s">
        <v>150</v>
      </c>
      <c r="B36" s="562"/>
      <c r="C36" s="322"/>
      <c r="D36" s="322"/>
      <c r="E36" s="322"/>
      <c r="F36" s="322"/>
      <c r="G36" s="322"/>
    </row>
    <row r="37" spans="1:8" ht="16.5" x14ac:dyDescent="0.25">
      <c r="A37" s="561" t="s">
        <v>409</v>
      </c>
      <c r="B37" s="562"/>
      <c r="C37" s="322"/>
      <c r="D37" s="322"/>
      <c r="E37" s="322"/>
      <c r="F37" s="322"/>
      <c r="G37" s="322"/>
    </row>
    <row r="38" spans="1:8" ht="16.5" x14ac:dyDescent="0.25">
      <c r="A38" s="561" t="s">
        <v>410</v>
      </c>
      <c r="B38" s="562"/>
      <c r="C38" s="322"/>
      <c r="D38" s="322"/>
      <c r="E38" s="322"/>
      <c r="F38" s="322"/>
      <c r="G38" s="322"/>
    </row>
    <row r="39" spans="1:8" ht="16.5" x14ac:dyDescent="0.25">
      <c r="A39" s="561" t="s">
        <v>151</v>
      </c>
      <c r="B39" s="562"/>
      <c r="C39" s="322"/>
      <c r="D39" s="322"/>
      <c r="E39" s="322"/>
      <c r="F39" s="322"/>
      <c r="G39" s="322"/>
    </row>
    <row r="40" spans="1:8" ht="16.5" x14ac:dyDescent="0.25">
      <c r="A40" s="561" t="s">
        <v>26</v>
      </c>
      <c r="B40" s="562"/>
      <c r="C40" s="560"/>
      <c r="D40" s="322"/>
      <c r="E40" s="322"/>
      <c r="F40" s="322"/>
      <c r="G40" s="322"/>
    </row>
    <row r="41" spans="1:8" ht="16.5" x14ac:dyDescent="0.25">
      <c r="A41" s="561" t="s">
        <v>411</v>
      </c>
      <c r="B41" s="562"/>
      <c r="C41" s="322"/>
      <c r="D41" s="322"/>
      <c r="E41" s="322"/>
      <c r="F41" s="322"/>
      <c r="G41" s="322"/>
    </row>
    <row r="42" spans="1:8" ht="16.5" x14ac:dyDescent="0.25">
      <c r="A42" s="561" t="s">
        <v>128</v>
      </c>
      <c r="B42" s="562"/>
      <c r="C42" s="322"/>
      <c r="D42" s="322"/>
      <c r="E42" s="322"/>
      <c r="F42" s="322"/>
      <c r="G42" s="322"/>
    </row>
    <row r="43" spans="1:8" ht="16.5" x14ac:dyDescent="0.25">
      <c r="A43" s="561" t="s">
        <v>412</v>
      </c>
      <c r="B43" s="562"/>
      <c r="C43" s="322"/>
      <c r="D43" s="322"/>
      <c r="E43" s="322"/>
      <c r="F43" s="322"/>
      <c r="G43" s="322"/>
    </row>
    <row r="44" spans="1:8" ht="16.5" x14ac:dyDescent="0.25">
      <c r="A44" s="316"/>
      <c r="B44" s="322"/>
      <c r="C44" s="322"/>
      <c r="D44" s="322"/>
      <c r="E44" s="322"/>
      <c r="F44" s="322"/>
      <c r="G44" s="322"/>
    </row>
    <row r="45" spans="1:8" ht="16.5" x14ac:dyDescent="0.25">
      <c r="A45" s="316"/>
      <c r="B45" s="322"/>
      <c r="C45" s="322"/>
      <c r="D45" s="322"/>
      <c r="E45" s="322"/>
      <c r="F45" s="322"/>
      <c r="G45" s="322"/>
    </row>
    <row r="46" spans="1:8" ht="16.5" x14ac:dyDescent="0.25">
      <c r="A46" s="316"/>
      <c r="B46" s="322"/>
      <c r="C46" s="322"/>
      <c r="D46" s="322"/>
      <c r="E46" s="322"/>
      <c r="F46" s="322"/>
      <c r="G46" s="322"/>
    </row>
    <row r="47" spans="1:8" ht="16.5" x14ac:dyDescent="0.25">
      <c r="A47" s="316"/>
      <c r="B47" s="322"/>
      <c r="C47" s="322"/>
      <c r="D47" s="322"/>
      <c r="E47" s="322"/>
      <c r="F47" s="322"/>
      <c r="G47" s="322"/>
    </row>
    <row r="48" spans="1:8" ht="16.5" x14ac:dyDescent="0.25">
      <c r="A48" s="316"/>
      <c r="B48" s="322"/>
      <c r="C48" s="322"/>
      <c r="D48" s="322"/>
      <c r="E48" s="322"/>
      <c r="F48" s="322"/>
      <c r="G48" s="322"/>
    </row>
    <row r="49" spans="1:7" ht="16.5" x14ac:dyDescent="0.25">
      <c r="A49" s="316"/>
      <c r="B49" s="322"/>
      <c r="C49" s="322"/>
      <c r="D49" s="322"/>
      <c r="E49" s="322"/>
      <c r="F49" s="322"/>
      <c r="G49" s="322"/>
    </row>
    <row r="50" spans="1:7" ht="16.5" x14ac:dyDescent="0.25">
      <c r="A50" s="533"/>
      <c r="B50" s="576"/>
      <c r="C50" s="576"/>
      <c r="D50" s="322"/>
      <c r="E50" s="322"/>
      <c r="F50" s="322"/>
      <c r="G50" s="322"/>
    </row>
    <row r="51" spans="1:7" ht="16.5" x14ac:dyDescent="0.25">
      <c r="A51" s="316"/>
      <c r="B51" s="322"/>
      <c r="C51" s="322"/>
      <c r="D51" s="322"/>
      <c r="E51" s="322"/>
      <c r="F51" s="322"/>
      <c r="G51" s="322"/>
    </row>
    <row r="52" spans="1:7" ht="16.5" x14ac:dyDescent="0.25">
      <c r="A52" s="316"/>
      <c r="B52" s="322"/>
      <c r="C52" s="322"/>
      <c r="D52" s="322"/>
      <c r="E52" s="322"/>
      <c r="F52" s="322"/>
      <c r="G52" s="322"/>
    </row>
    <row r="53" spans="1:7" ht="16.5" x14ac:dyDescent="0.25">
      <c r="A53" s="316"/>
      <c r="B53" s="322"/>
      <c r="C53" s="322"/>
      <c r="D53" s="322"/>
      <c r="E53" s="322"/>
      <c r="F53" s="322"/>
      <c r="G53" s="322"/>
    </row>
    <row r="54" spans="1:7" ht="16.5" x14ac:dyDescent="0.25">
      <c r="A54" s="316"/>
      <c r="B54" s="322"/>
      <c r="C54" s="322"/>
      <c r="D54" s="322"/>
      <c r="E54" s="322"/>
      <c r="F54" s="322"/>
      <c r="G54" s="322"/>
    </row>
    <row r="55" spans="1:7" ht="16.5" x14ac:dyDescent="0.25">
      <c r="A55" s="316"/>
      <c r="B55" s="322"/>
      <c r="C55" s="322"/>
      <c r="D55" s="322"/>
      <c r="E55" s="322"/>
      <c r="F55" s="322"/>
      <c r="G55" s="322"/>
    </row>
    <row r="56" spans="1:7" ht="16.5" x14ac:dyDescent="0.25">
      <c r="A56" s="316"/>
      <c r="B56" s="322"/>
      <c r="C56" s="322"/>
      <c r="D56" s="322"/>
      <c r="E56" s="322"/>
      <c r="F56" s="322"/>
      <c r="G56" s="322"/>
    </row>
    <row r="57" spans="1:7" ht="16.5" x14ac:dyDescent="0.25">
      <c r="A57" s="316"/>
      <c r="B57" s="322"/>
      <c r="C57" s="322"/>
      <c r="D57" s="322"/>
      <c r="E57" s="322"/>
      <c r="F57" s="322"/>
      <c r="G57" s="322"/>
    </row>
    <row r="58" spans="1:7" ht="16.5" x14ac:dyDescent="0.25">
      <c r="A58" s="316"/>
      <c r="B58" s="322"/>
      <c r="C58" s="322"/>
      <c r="D58" s="322"/>
      <c r="E58" s="322"/>
      <c r="F58" s="322"/>
      <c r="G58" s="322"/>
    </row>
    <row r="59" spans="1:7" ht="16.5" x14ac:dyDescent="0.25">
      <c r="A59" s="316"/>
      <c r="B59" s="322"/>
      <c r="C59" s="322"/>
      <c r="D59" s="322"/>
      <c r="E59" s="322"/>
      <c r="F59" s="322"/>
      <c r="G59" s="322"/>
    </row>
    <row r="60" spans="1:7" ht="16.5" x14ac:dyDescent="0.25">
      <c r="A60" s="315"/>
      <c r="B60" s="322"/>
      <c r="C60" s="322"/>
      <c r="D60" s="322"/>
      <c r="E60" s="322"/>
      <c r="F60" s="322"/>
      <c r="G60" s="322"/>
    </row>
    <row r="61" spans="1:7" ht="16.5" x14ac:dyDescent="0.25">
      <c r="A61" s="316"/>
      <c r="B61" s="322"/>
      <c r="C61" s="322"/>
      <c r="D61" s="322"/>
      <c r="E61" s="322"/>
      <c r="F61" s="322"/>
      <c r="G61" s="322"/>
    </row>
    <row r="62" spans="1:7" ht="16.5" x14ac:dyDescent="0.25">
      <c r="A62" s="316"/>
      <c r="B62" s="322"/>
      <c r="C62" s="322"/>
      <c r="D62" s="322"/>
      <c r="E62" s="322"/>
      <c r="F62" s="322"/>
      <c r="G62" s="322"/>
    </row>
    <row r="63" spans="1:7" ht="16.5" x14ac:dyDescent="0.25">
      <c r="A63" s="316"/>
      <c r="B63" s="322"/>
      <c r="C63" s="322"/>
      <c r="D63" s="322"/>
      <c r="E63" s="322"/>
      <c r="F63" s="322"/>
      <c r="G63" s="322"/>
    </row>
    <row r="64" spans="1:7" ht="16.5" x14ac:dyDescent="0.25">
      <c r="A64" s="316"/>
      <c r="B64" s="322"/>
      <c r="C64" s="322"/>
      <c r="D64" s="322"/>
      <c r="E64" s="322"/>
      <c r="F64" s="322"/>
      <c r="G64" s="322"/>
    </row>
    <row r="65" spans="1:7" ht="16.5" x14ac:dyDescent="0.25">
      <c r="A65" s="316"/>
      <c r="B65" s="322"/>
      <c r="C65" s="322"/>
      <c r="D65" s="322"/>
      <c r="E65" s="322"/>
      <c r="F65" s="322"/>
      <c r="G65" s="322"/>
    </row>
    <row r="66" spans="1:7" ht="16.5" x14ac:dyDescent="0.25">
      <c r="A66" s="316"/>
      <c r="B66" s="322"/>
      <c r="C66" s="322"/>
      <c r="D66" s="322"/>
      <c r="E66" s="322"/>
      <c r="F66" s="322"/>
      <c r="G66" s="322"/>
    </row>
    <row r="67" spans="1:7" ht="16.5" x14ac:dyDescent="0.25">
      <c r="A67" s="316"/>
      <c r="B67" s="322"/>
      <c r="C67" s="322"/>
      <c r="D67" s="322"/>
      <c r="E67" s="322"/>
      <c r="F67" s="322"/>
      <c r="G67" s="322"/>
    </row>
    <row r="68" spans="1:7" ht="16.5" x14ac:dyDescent="0.25">
      <c r="A68" s="316"/>
      <c r="B68" s="322"/>
      <c r="C68" s="322"/>
      <c r="D68" s="322"/>
      <c r="E68" s="322"/>
      <c r="F68" s="322"/>
      <c r="G68" s="322"/>
    </row>
    <row r="69" spans="1:7" ht="16.5" x14ac:dyDescent="0.25">
      <c r="A69" s="316"/>
      <c r="B69" s="322"/>
      <c r="C69" s="322"/>
      <c r="D69" s="322"/>
      <c r="E69" s="322"/>
      <c r="F69" s="322"/>
      <c r="G69" s="322"/>
    </row>
  </sheetData>
  <mergeCells count="7">
    <mergeCell ref="B50:C50"/>
    <mergeCell ref="A5:A6"/>
    <mergeCell ref="H5:H6"/>
    <mergeCell ref="A17:A18"/>
    <mergeCell ref="H17:H18"/>
    <mergeCell ref="H32:H33"/>
    <mergeCell ref="A32:A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view="pageBreakPreview" zoomScale="150" zoomScaleNormal="100" zoomScaleSheetLayoutView="150" workbookViewId="0">
      <selection activeCell="B10" sqref="B10"/>
    </sheetView>
  </sheetViews>
  <sheetFormatPr defaultColWidth="8.85546875" defaultRowHeight="15" x14ac:dyDescent="0.25"/>
  <cols>
    <col min="1" max="1" width="22.7109375" customWidth="1"/>
    <col min="2" max="2" width="13.140625" customWidth="1"/>
    <col min="3" max="3" width="13.28515625" customWidth="1"/>
    <col min="4" max="4" width="14.42578125" customWidth="1"/>
    <col min="5" max="5" width="11.7109375" customWidth="1"/>
    <col min="6" max="6" width="17" customWidth="1"/>
  </cols>
  <sheetData>
    <row r="1" spans="1:13" s="174" customFormat="1" ht="42.75" customHeight="1" x14ac:dyDescent="0.25">
      <c r="A1" s="581" t="s">
        <v>418</v>
      </c>
      <c r="B1" s="581"/>
      <c r="C1" s="581"/>
      <c r="D1" s="581"/>
      <c r="E1" s="581"/>
      <c r="F1" s="581"/>
    </row>
    <row r="3" spans="1:13" ht="66.75" customHeight="1" x14ac:dyDescent="0.25">
      <c r="A3" s="152" t="s">
        <v>322</v>
      </c>
      <c r="B3" s="341" t="s">
        <v>327</v>
      </c>
      <c r="C3" s="152" t="s">
        <v>319</v>
      </c>
      <c r="D3" s="152" t="s">
        <v>321</v>
      </c>
      <c r="E3" s="152" t="s">
        <v>318</v>
      </c>
      <c r="F3" s="152" t="s">
        <v>419</v>
      </c>
      <c r="G3" s="342"/>
      <c r="H3" s="141"/>
      <c r="I3" s="141"/>
      <c r="J3" s="81"/>
      <c r="K3" s="142"/>
      <c r="L3" s="343"/>
      <c r="M3" s="146"/>
    </row>
    <row r="4" spans="1:13" ht="18" customHeight="1" x14ac:dyDescent="0.25">
      <c r="A4" s="152" t="s">
        <v>323</v>
      </c>
      <c r="B4" s="338"/>
      <c r="C4" s="152"/>
      <c r="D4" s="152"/>
      <c r="E4" s="152"/>
      <c r="F4" s="152"/>
      <c r="G4" s="344"/>
      <c r="H4" s="345"/>
      <c r="I4" s="345"/>
      <c r="J4" s="80"/>
      <c r="K4" s="346"/>
      <c r="L4" s="347"/>
      <c r="M4" s="135"/>
    </row>
    <row r="5" spans="1:13" ht="18" customHeight="1" x14ac:dyDescent="0.25">
      <c r="A5" s="338" t="s">
        <v>315</v>
      </c>
      <c r="B5" s="77">
        <v>70000</v>
      </c>
      <c r="C5" s="179">
        <v>20</v>
      </c>
      <c r="D5" s="77">
        <v>21000</v>
      </c>
      <c r="E5" s="338">
        <v>0.2</v>
      </c>
      <c r="F5" s="77">
        <f>(C5*D5*E5)+B5</f>
        <v>154000</v>
      </c>
      <c r="G5" s="344"/>
      <c r="H5" s="345"/>
      <c r="I5" s="345"/>
      <c r="J5" s="80"/>
      <c r="K5" s="346"/>
      <c r="L5" s="347"/>
      <c r="M5" s="135"/>
    </row>
    <row r="6" spans="1:13" ht="18" customHeight="1" x14ac:dyDescent="0.25">
      <c r="A6" s="338" t="s">
        <v>316</v>
      </c>
      <c r="B6" s="77">
        <v>70000</v>
      </c>
      <c r="C6" s="179">
        <v>40</v>
      </c>
      <c r="D6" s="77">
        <v>21000</v>
      </c>
      <c r="E6" s="338">
        <v>0.2</v>
      </c>
      <c r="F6" s="77">
        <f>(C6*D6*E6)+B6</f>
        <v>238000</v>
      </c>
      <c r="G6" s="344"/>
      <c r="H6" s="345"/>
      <c r="I6" s="345"/>
      <c r="J6" s="80"/>
      <c r="K6" s="346"/>
      <c r="L6" s="347"/>
      <c r="M6" s="135"/>
    </row>
    <row r="7" spans="1:13" ht="18" customHeight="1" x14ac:dyDescent="0.25">
      <c r="A7" s="338" t="s">
        <v>317</v>
      </c>
      <c r="B7" s="77">
        <v>70000</v>
      </c>
      <c r="C7" s="179">
        <v>60</v>
      </c>
      <c r="D7" s="77">
        <v>21000</v>
      </c>
      <c r="E7" s="338">
        <v>0.2</v>
      </c>
      <c r="F7" s="77">
        <f>(C7*D7*E7)+B7</f>
        <v>322000</v>
      </c>
      <c r="G7" s="344"/>
      <c r="H7" s="345"/>
      <c r="I7" s="345"/>
      <c r="J7" s="80"/>
      <c r="K7" s="346"/>
      <c r="L7" s="347"/>
      <c r="M7" s="135"/>
    </row>
    <row r="8" spans="1:13" ht="18" customHeight="1" x14ac:dyDescent="0.25">
      <c r="A8" s="338" t="s">
        <v>420</v>
      </c>
      <c r="B8" s="77">
        <v>70000</v>
      </c>
      <c r="C8" s="179">
        <v>80</v>
      </c>
      <c r="D8" s="77">
        <v>21000</v>
      </c>
      <c r="E8" s="338">
        <v>0.2</v>
      </c>
      <c r="F8" s="77">
        <f>(C8*D8*E8)+B8</f>
        <v>406000</v>
      </c>
      <c r="G8" s="344"/>
      <c r="H8" s="345"/>
      <c r="I8" s="345"/>
      <c r="J8" s="80"/>
      <c r="K8" s="346"/>
      <c r="L8" s="347"/>
      <c r="M8" s="135"/>
    </row>
    <row r="9" spans="1:13" ht="18" customHeight="1" x14ac:dyDescent="0.25">
      <c r="A9" s="338" t="s">
        <v>421</v>
      </c>
      <c r="B9" s="77"/>
      <c r="C9" s="179"/>
      <c r="D9" s="77"/>
      <c r="E9" s="338"/>
      <c r="F9" s="77"/>
      <c r="G9" s="344"/>
      <c r="H9" s="345"/>
      <c r="I9" s="345"/>
      <c r="J9" s="80"/>
      <c r="K9" s="346"/>
      <c r="L9" s="347"/>
      <c r="M9" s="135"/>
    </row>
    <row r="10" spans="1:13" ht="66" customHeight="1" x14ac:dyDescent="0.25">
      <c r="A10" s="348" t="s">
        <v>324</v>
      </c>
      <c r="B10" s="341" t="s">
        <v>327</v>
      </c>
      <c r="C10" s="152" t="s">
        <v>319</v>
      </c>
      <c r="D10" s="152" t="s">
        <v>321</v>
      </c>
      <c r="E10" s="152" t="s">
        <v>318</v>
      </c>
      <c r="F10" s="152" t="s">
        <v>328</v>
      </c>
      <c r="G10" s="349"/>
      <c r="H10" s="349"/>
      <c r="I10" s="349"/>
      <c r="J10" s="340"/>
      <c r="K10" s="350"/>
      <c r="L10" s="351"/>
      <c r="M10" s="351"/>
    </row>
    <row r="11" spans="1:13" ht="21" customHeight="1" x14ac:dyDescent="0.25">
      <c r="A11" s="352" t="s">
        <v>325</v>
      </c>
      <c r="B11" s="77">
        <v>200000</v>
      </c>
      <c r="C11" s="77">
        <v>100</v>
      </c>
      <c r="D11" s="77">
        <v>21000</v>
      </c>
      <c r="E11" s="338">
        <v>0.2</v>
      </c>
      <c r="F11" s="77">
        <f>(E11*D11*C11)+B11</f>
        <v>620000</v>
      </c>
      <c r="G11" s="345"/>
      <c r="H11" s="345"/>
      <c r="I11" s="345"/>
      <c r="J11" s="80"/>
      <c r="K11" s="346"/>
      <c r="L11" s="347"/>
      <c r="M11" s="135"/>
    </row>
    <row r="12" spans="1:13" ht="21" customHeight="1" x14ac:dyDescent="0.25">
      <c r="A12" s="352" t="s">
        <v>325</v>
      </c>
      <c r="B12" s="77">
        <v>200000</v>
      </c>
      <c r="C12" s="77">
        <v>80</v>
      </c>
      <c r="D12" s="77">
        <v>21000</v>
      </c>
      <c r="E12" s="338">
        <v>0.2</v>
      </c>
      <c r="F12" s="77">
        <f>(E12*D12*C12)+B12</f>
        <v>536000</v>
      </c>
      <c r="G12" s="345"/>
      <c r="H12" s="345"/>
      <c r="I12" s="345"/>
      <c r="J12" s="80"/>
      <c r="K12" s="346"/>
      <c r="L12" s="347"/>
      <c r="M12" s="135"/>
    </row>
    <row r="13" spans="1:13" ht="21" customHeight="1" x14ac:dyDescent="0.25">
      <c r="A13" s="352" t="s">
        <v>325</v>
      </c>
      <c r="B13" s="77">
        <v>200000</v>
      </c>
      <c r="C13" s="77">
        <v>60</v>
      </c>
      <c r="D13" s="77">
        <v>21000</v>
      </c>
      <c r="E13" s="338">
        <v>0.2</v>
      </c>
      <c r="F13" s="77">
        <f>(E13*D13*C13)+B13</f>
        <v>452000</v>
      </c>
      <c r="G13" s="345"/>
      <c r="H13" s="345"/>
      <c r="I13" s="345"/>
      <c r="J13" s="80"/>
      <c r="K13" s="346"/>
      <c r="L13" s="347"/>
      <c r="M13" s="135"/>
    </row>
    <row r="14" spans="1:13" s="326" customFormat="1" ht="35.25" customHeight="1" x14ac:dyDescent="0.25">
      <c r="A14" s="189" t="s">
        <v>326</v>
      </c>
      <c r="B14" s="206">
        <v>200000</v>
      </c>
      <c r="C14" s="206">
        <v>200</v>
      </c>
      <c r="D14" s="206">
        <v>21000</v>
      </c>
      <c r="E14" s="355">
        <v>0.2</v>
      </c>
      <c r="F14" s="206">
        <f>(E14*D14*C14)+B14</f>
        <v>1040000</v>
      </c>
      <c r="G14" s="164"/>
      <c r="H14" s="164"/>
      <c r="I14" s="164"/>
      <c r="J14" s="149"/>
      <c r="K14" s="356"/>
      <c r="L14" s="357"/>
      <c r="M14" s="151"/>
    </row>
    <row r="15" spans="1:13" s="326" customFormat="1" ht="42" customHeight="1" x14ac:dyDescent="0.25">
      <c r="A15" s="582" t="s">
        <v>330</v>
      </c>
      <c r="B15" s="582"/>
      <c r="C15" s="582"/>
      <c r="D15" s="582"/>
      <c r="E15" s="582"/>
      <c r="F15" s="582"/>
      <c r="G15" s="398"/>
      <c r="H15" s="398"/>
      <c r="I15" s="398"/>
      <c r="J15" s="399"/>
      <c r="K15" s="399"/>
      <c r="L15" s="400"/>
      <c r="M15" s="401"/>
    </row>
    <row r="16" spans="1:13" ht="36" customHeight="1" x14ac:dyDescent="0.25">
      <c r="A16" s="583" t="s">
        <v>331</v>
      </c>
      <c r="B16" s="583"/>
      <c r="C16" s="583"/>
      <c r="D16" s="583"/>
      <c r="E16" s="583"/>
      <c r="F16" s="583"/>
      <c r="G16" s="80"/>
      <c r="H16" s="80"/>
      <c r="I16" s="80"/>
      <c r="J16" s="80"/>
      <c r="K16" s="80"/>
      <c r="L16" s="80"/>
      <c r="M16" s="80"/>
    </row>
    <row r="17" spans="1:13" ht="15.75" x14ac:dyDescent="0.25">
      <c r="A17" s="80" t="s">
        <v>329</v>
      </c>
      <c r="B17" s="80"/>
      <c r="C17" s="80"/>
      <c r="D17" s="80"/>
      <c r="E17" s="80"/>
      <c r="F17" s="80"/>
      <c r="G17" s="80"/>
      <c r="H17" s="80"/>
      <c r="I17" s="80"/>
      <c r="J17" s="80"/>
      <c r="K17" s="80"/>
      <c r="L17" s="80"/>
      <c r="M17" s="80"/>
    </row>
    <row r="18" spans="1:13" ht="34.5" customHeight="1" x14ac:dyDescent="0.25">
      <c r="A18" s="583" t="s">
        <v>379</v>
      </c>
      <c r="B18" s="583"/>
      <c r="C18" s="583"/>
      <c r="D18" s="583"/>
      <c r="E18" s="583"/>
      <c r="F18" s="583"/>
      <c r="G18" s="80"/>
      <c r="H18" s="80"/>
      <c r="I18" s="80"/>
      <c r="J18" s="80"/>
      <c r="K18" s="80"/>
      <c r="L18" s="80"/>
      <c r="M18" s="80"/>
    </row>
    <row r="19" spans="1:13" s="354" customFormat="1" ht="21.75" customHeight="1" x14ac:dyDescent="0.25">
      <c r="A19" s="144" t="s">
        <v>417</v>
      </c>
    </row>
    <row r="20" spans="1:13" s="326" customFormat="1" ht="22.5" customHeight="1" x14ac:dyDescent="0.25">
      <c r="A20" s="125" t="s">
        <v>416</v>
      </c>
      <c r="B20" s="125"/>
      <c r="C20" s="125"/>
      <c r="D20" s="125"/>
      <c r="E20" s="125"/>
      <c r="F20" s="125"/>
      <c r="G20" s="125"/>
      <c r="H20" s="125"/>
      <c r="I20" s="125"/>
    </row>
    <row r="21" spans="1:13" ht="66.75" customHeight="1" x14ac:dyDescent="0.25">
      <c r="A21" s="152" t="s">
        <v>322</v>
      </c>
      <c r="B21" s="152" t="s">
        <v>319</v>
      </c>
      <c r="C21" s="152" t="s">
        <v>321</v>
      </c>
      <c r="D21" s="152" t="s">
        <v>318</v>
      </c>
      <c r="E21" s="152" t="s">
        <v>320</v>
      </c>
      <c r="F21" s="340"/>
      <c r="G21" s="340"/>
      <c r="H21" s="340"/>
      <c r="I21" s="340"/>
    </row>
    <row r="22" spans="1:13" ht="20.25" customHeight="1" x14ac:dyDescent="0.25">
      <c r="A22" s="338" t="s">
        <v>315</v>
      </c>
      <c r="B22" s="179">
        <v>20</v>
      </c>
      <c r="C22" s="339">
        <v>21000</v>
      </c>
      <c r="D22" s="338">
        <v>0.2</v>
      </c>
      <c r="E22" s="339">
        <f>B22*C22*D22</f>
        <v>84000</v>
      </c>
      <c r="F22" s="80"/>
      <c r="G22" s="80"/>
      <c r="H22" s="80"/>
      <c r="I22" s="80"/>
    </row>
    <row r="23" spans="1:13" ht="20.25" customHeight="1" x14ac:dyDescent="0.25">
      <c r="A23" s="338" t="s">
        <v>316</v>
      </c>
      <c r="B23" s="179">
        <v>40</v>
      </c>
      <c r="C23" s="339">
        <v>21000</v>
      </c>
      <c r="D23" s="338">
        <v>0.2</v>
      </c>
      <c r="E23" s="339">
        <f>B23*C23*D23</f>
        <v>168000</v>
      </c>
      <c r="F23" s="80"/>
      <c r="G23" s="80"/>
      <c r="H23" s="80"/>
      <c r="I23" s="80"/>
    </row>
    <row r="24" spans="1:13" ht="20.25" customHeight="1" x14ac:dyDescent="0.25">
      <c r="A24" s="338" t="s">
        <v>317</v>
      </c>
      <c r="B24" s="179">
        <v>60</v>
      </c>
      <c r="C24" s="339">
        <v>21000</v>
      </c>
      <c r="D24" s="338">
        <v>0.2</v>
      </c>
      <c r="E24" s="339">
        <f>B24*C24*D24</f>
        <v>252000</v>
      </c>
      <c r="F24" s="80"/>
      <c r="G24" s="80"/>
      <c r="H24" s="80"/>
      <c r="I24" s="80"/>
    </row>
    <row r="25" spans="1:13" ht="20.25" customHeight="1" x14ac:dyDescent="0.25">
      <c r="A25" s="661" t="s">
        <v>414</v>
      </c>
      <c r="B25" s="179">
        <v>80</v>
      </c>
      <c r="C25" s="339">
        <v>21000</v>
      </c>
      <c r="D25" s="338">
        <v>0.2</v>
      </c>
      <c r="E25" s="339">
        <f>B25*C25*D25</f>
        <v>336000</v>
      </c>
      <c r="F25" s="80"/>
      <c r="G25" s="80"/>
      <c r="H25" s="80"/>
      <c r="I25" s="80"/>
    </row>
    <row r="26" spans="1:13" ht="21" customHeight="1" x14ac:dyDescent="0.25">
      <c r="A26" s="353" t="s">
        <v>415</v>
      </c>
      <c r="B26" s="80"/>
      <c r="C26" s="80"/>
      <c r="D26" s="80"/>
      <c r="E26" s="80"/>
      <c r="F26" s="80"/>
      <c r="G26" s="80"/>
      <c r="H26" s="80"/>
      <c r="I26" s="80"/>
    </row>
    <row r="27" spans="1:13" s="326" customFormat="1" ht="40.5" customHeight="1" x14ac:dyDescent="0.25">
      <c r="A27" s="584" t="s">
        <v>332</v>
      </c>
      <c r="B27" s="584"/>
      <c r="C27" s="584"/>
      <c r="D27" s="584"/>
      <c r="E27" s="584"/>
      <c r="H27" s="390"/>
    </row>
  </sheetData>
  <mergeCells count="5">
    <mergeCell ref="A1:F1"/>
    <mergeCell ref="A15:F15"/>
    <mergeCell ref="A16:F16"/>
    <mergeCell ref="A18:F18"/>
    <mergeCell ref="A27:E27"/>
  </mergeCells>
  <pageMargins left="0.31496062992125984" right="0.11811023622047245" top="0.74803149606299213" bottom="0.55118110236220474"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8"/>
  <sheetViews>
    <sheetView tabSelected="1" view="pageBreakPreview" topLeftCell="A4" zoomScale="120" zoomScaleNormal="89" zoomScaleSheetLayoutView="120" workbookViewId="0">
      <selection activeCell="A19" sqref="A19"/>
    </sheetView>
  </sheetViews>
  <sheetFormatPr defaultColWidth="9.140625" defaultRowHeight="16.5" x14ac:dyDescent="0.25"/>
  <cols>
    <col min="1" max="1" width="30.42578125" style="85" customWidth="1"/>
    <col min="2" max="2" width="13.85546875" style="85" customWidth="1"/>
    <col min="3" max="5" width="11.42578125" style="85" customWidth="1"/>
    <col min="6" max="6" width="11.42578125" style="122" bestFit="1" customWidth="1"/>
    <col min="7" max="8" width="12.7109375" style="85" customWidth="1"/>
    <col min="9" max="9" width="13.42578125" style="85" customWidth="1"/>
    <col min="10" max="10" width="13.140625" style="85" bestFit="1" customWidth="1"/>
    <col min="11" max="11" width="11.42578125" style="86" customWidth="1"/>
    <col min="12" max="12" width="10.42578125" style="85" customWidth="1"/>
    <col min="13" max="16384" width="9.140625" style="85"/>
  </cols>
  <sheetData>
    <row r="1" spans="1:13" x14ac:dyDescent="0.25">
      <c r="A1" s="85" t="s">
        <v>18</v>
      </c>
    </row>
    <row r="2" spans="1:13" s="87" customFormat="1" x14ac:dyDescent="0.25">
      <c r="A2" s="87" t="s">
        <v>137</v>
      </c>
      <c r="F2" s="696"/>
      <c r="K2" s="88"/>
    </row>
    <row r="3" spans="1:13" s="87" customFormat="1" ht="11.25" customHeight="1" x14ac:dyDescent="0.25">
      <c r="F3" s="696"/>
      <c r="G3" s="89"/>
      <c r="H3" s="89"/>
      <c r="I3" s="89"/>
      <c r="J3" s="89"/>
      <c r="K3" s="90"/>
    </row>
    <row r="4" spans="1:13" s="87" customFormat="1" x14ac:dyDescent="0.25">
      <c r="B4" s="87" t="s">
        <v>423</v>
      </c>
      <c r="C4" s="87" t="s">
        <v>424</v>
      </c>
      <c r="D4" s="87" t="s">
        <v>422</v>
      </c>
      <c r="F4" s="696" t="s">
        <v>425</v>
      </c>
      <c r="I4" s="563" t="s">
        <v>136</v>
      </c>
      <c r="J4" s="563"/>
      <c r="K4" s="91">
        <v>234000</v>
      </c>
      <c r="L4" s="87" t="s">
        <v>135</v>
      </c>
    </row>
    <row r="5" spans="1:13" s="378" customFormat="1" ht="21" customHeight="1" x14ac:dyDescent="0.25">
      <c r="A5" s="585"/>
      <c r="B5" s="76" t="s">
        <v>1</v>
      </c>
      <c r="C5" s="76" t="s">
        <v>2</v>
      </c>
      <c r="D5" s="76" t="s">
        <v>3</v>
      </c>
      <c r="E5" s="76" t="s">
        <v>4</v>
      </c>
      <c r="F5" s="529" t="s">
        <v>5</v>
      </c>
      <c r="G5" s="529" t="s">
        <v>125</v>
      </c>
      <c r="H5" s="529" t="s">
        <v>126</v>
      </c>
      <c r="I5" s="529" t="s">
        <v>127</v>
      </c>
      <c r="J5" s="529" t="s">
        <v>146</v>
      </c>
      <c r="K5" s="529" t="s">
        <v>147</v>
      </c>
      <c r="L5" s="566" t="s">
        <v>6</v>
      </c>
    </row>
    <row r="6" spans="1:13" s="92" customFormat="1" ht="21.75" customHeight="1" x14ac:dyDescent="0.25">
      <c r="A6" s="585"/>
      <c r="B6" s="359">
        <v>1.1599999999999999</v>
      </c>
      <c r="C6" s="79">
        <f>B6*1.3</f>
        <v>1.508</v>
      </c>
      <c r="D6" s="79">
        <f t="shared" ref="D6:F6" si="0">C6*1.3</f>
        <v>1.9604000000000001</v>
      </c>
      <c r="E6" s="79">
        <f t="shared" si="0"/>
        <v>2.5485200000000003</v>
      </c>
      <c r="F6" s="697">
        <f t="shared" si="0"/>
        <v>3.3130760000000006</v>
      </c>
      <c r="G6" s="79">
        <f>F6*1.4</f>
        <v>4.6383064000000003</v>
      </c>
      <c r="H6" s="79">
        <f t="shared" ref="H6:K6" si="1">G6*1.4</f>
        <v>6.4936289599999997</v>
      </c>
      <c r="I6" s="79">
        <f t="shared" si="1"/>
        <v>9.0910805439999987</v>
      </c>
      <c r="J6" s="79">
        <f t="shared" si="1"/>
        <v>12.727512761599998</v>
      </c>
      <c r="K6" s="79">
        <f t="shared" si="1"/>
        <v>17.818517866239997</v>
      </c>
      <c r="L6" s="566"/>
    </row>
    <row r="7" spans="1:13" ht="18" customHeight="1" x14ac:dyDescent="0.25">
      <c r="A7" s="93" t="s">
        <v>7</v>
      </c>
      <c r="B7" s="380">
        <f t="shared" ref="B7:K7" si="2">ROUNDDOWN(B12*$L$7,-3)</f>
        <v>132000</v>
      </c>
      <c r="C7" s="380">
        <f t="shared" si="2"/>
        <v>171000</v>
      </c>
      <c r="D7" s="380">
        <f t="shared" si="2"/>
        <v>223000</v>
      </c>
      <c r="E7" s="380">
        <f t="shared" si="2"/>
        <v>290000</v>
      </c>
      <c r="F7" s="382">
        <f t="shared" si="2"/>
        <v>377000</v>
      </c>
      <c r="G7" s="380">
        <f t="shared" si="2"/>
        <v>528000</v>
      </c>
      <c r="H7" s="380">
        <f t="shared" si="2"/>
        <v>740000</v>
      </c>
      <c r="I7" s="380">
        <f t="shared" si="2"/>
        <v>1036000</v>
      </c>
      <c r="J7" s="380">
        <f t="shared" si="2"/>
        <v>1451000</v>
      </c>
      <c r="K7" s="380">
        <f t="shared" si="2"/>
        <v>2032000</v>
      </c>
      <c r="L7" s="95">
        <f>75%-(75%*35%)</f>
        <v>0.48750000000000004</v>
      </c>
    </row>
    <row r="8" spans="1:13" ht="18" customHeight="1" x14ac:dyDescent="0.25">
      <c r="A8" s="93" t="s">
        <v>9</v>
      </c>
      <c r="B8" s="380">
        <f t="shared" ref="B8:K8" si="3">ROUNDDOWN(B12*$L$8,-3)</f>
        <v>132000</v>
      </c>
      <c r="C8" s="380">
        <f t="shared" si="3"/>
        <v>171000</v>
      </c>
      <c r="D8" s="380">
        <f t="shared" si="3"/>
        <v>223000</v>
      </c>
      <c r="E8" s="380">
        <f t="shared" si="3"/>
        <v>290000</v>
      </c>
      <c r="F8" s="382">
        <f t="shared" si="3"/>
        <v>377000</v>
      </c>
      <c r="G8" s="380">
        <f t="shared" si="3"/>
        <v>528000</v>
      </c>
      <c r="H8" s="380">
        <f t="shared" si="3"/>
        <v>740000</v>
      </c>
      <c r="I8" s="380">
        <f t="shared" si="3"/>
        <v>1036000</v>
      </c>
      <c r="J8" s="380">
        <f t="shared" si="3"/>
        <v>1451000</v>
      </c>
      <c r="K8" s="380">
        <f t="shared" si="3"/>
        <v>2032000</v>
      </c>
      <c r="L8" s="95">
        <f>75%-(75%*35%)</f>
        <v>0.48750000000000004</v>
      </c>
    </row>
    <row r="9" spans="1:13" ht="18" hidden="1" customHeight="1" x14ac:dyDescent="0.25">
      <c r="A9" s="93" t="s">
        <v>10</v>
      </c>
      <c r="B9" s="380">
        <f>ROUNDDOWN(B13*$L$8,-3)</f>
        <v>92000</v>
      </c>
      <c r="C9" s="96"/>
      <c r="D9" s="96"/>
      <c r="E9" s="96"/>
      <c r="F9" s="698"/>
      <c r="G9" s="96"/>
      <c r="H9" s="96"/>
      <c r="I9" s="96"/>
      <c r="J9" s="381"/>
      <c r="K9" s="381"/>
      <c r="L9" s="95"/>
    </row>
    <row r="10" spans="1:13" ht="18" customHeight="1" x14ac:dyDescent="0.25">
      <c r="A10" s="97" t="s">
        <v>98</v>
      </c>
      <c r="B10" s="380">
        <f t="shared" ref="B10:K10" si="4">ROUNDDOWN(B12*$L$10,-3)</f>
        <v>61000</v>
      </c>
      <c r="C10" s="380">
        <f t="shared" si="4"/>
        <v>80000</v>
      </c>
      <c r="D10" s="380">
        <f t="shared" si="4"/>
        <v>104000</v>
      </c>
      <c r="E10" s="380">
        <f t="shared" si="4"/>
        <v>135000</v>
      </c>
      <c r="F10" s="382">
        <f t="shared" si="4"/>
        <v>176000</v>
      </c>
      <c r="G10" s="380">
        <f t="shared" si="4"/>
        <v>246000</v>
      </c>
      <c r="H10" s="380">
        <f t="shared" si="4"/>
        <v>345000</v>
      </c>
      <c r="I10" s="380">
        <f t="shared" si="4"/>
        <v>483000</v>
      </c>
      <c r="J10" s="380">
        <f t="shared" si="4"/>
        <v>677000</v>
      </c>
      <c r="K10" s="380">
        <f t="shared" si="4"/>
        <v>948000</v>
      </c>
      <c r="L10" s="95">
        <f>35%-(35%*35%)</f>
        <v>0.22749999999999998</v>
      </c>
    </row>
    <row r="11" spans="1:13" ht="18" customHeight="1" x14ac:dyDescent="0.25">
      <c r="A11" s="93" t="s">
        <v>12</v>
      </c>
      <c r="B11" s="380">
        <f t="shared" ref="B11:K11" si="5">ROUNDDOWN(B12*$L$11,-3)</f>
        <v>67000</v>
      </c>
      <c r="C11" s="380">
        <f t="shared" si="5"/>
        <v>88000</v>
      </c>
      <c r="D11" s="380">
        <f t="shared" si="5"/>
        <v>114000</v>
      </c>
      <c r="E11" s="380">
        <f t="shared" si="5"/>
        <v>149000</v>
      </c>
      <c r="F11" s="382">
        <f t="shared" si="5"/>
        <v>193000</v>
      </c>
      <c r="G11" s="380">
        <f t="shared" si="5"/>
        <v>271000</v>
      </c>
      <c r="H11" s="380">
        <f t="shared" si="5"/>
        <v>379000</v>
      </c>
      <c r="I11" s="380">
        <f t="shared" si="5"/>
        <v>531000</v>
      </c>
      <c r="J11" s="380">
        <f t="shared" si="5"/>
        <v>744000</v>
      </c>
      <c r="K11" s="380">
        <f t="shared" si="5"/>
        <v>1042000</v>
      </c>
      <c r="L11" s="95">
        <v>0.25</v>
      </c>
    </row>
    <row r="12" spans="1:13" s="122" customFormat="1" ht="18" customHeight="1" x14ac:dyDescent="0.25">
      <c r="A12" s="120" t="s">
        <v>128</v>
      </c>
      <c r="B12" s="382">
        <f t="shared" ref="B12:J12" si="6">ROUNDDOWN(B6*$K$4,-3)</f>
        <v>271000</v>
      </c>
      <c r="C12" s="382">
        <f t="shared" si="6"/>
        <v>352000</v>
      </c>
      <c r="D12" s="382">
        <f t="shared" si="6"/>
        <v>458000</v>
      </c>
      <c r="E12" s="380">
        <f t="shared" si="6"/>
        <v>596000</v>
      </c>
      <c r="F12" s="382">
        <f t="shared" si="6"/>
        <v>775000</v>
      </c>
      <c r="G12" s="382">
        <f t="shared" si="6"/>
        <v>1085000</v>
      </c>
      <c r="H12" s="382">
        <f t="shared" si="6"/>
        <v>1519000</v>
      </c>
      <c r="I12" s="382">
        <f t="shared" si="6"/>
        <v>2127000</v>
      </c>
      <c r="J12" s="382">
        <f t="shared" si="6"/>
        <v>2978000</v>
      </c>
      <c r="K12" s="382">
        <f t="shared" ref="K12" si="7">ROUNDDOWN(K6*$K$4,-3)</f>
        <v>4169000</v>
      </c>
      <c r="L12" s="121">
        <v>1</v>
      </c>
      <c r="M12" s="459"/>
    </row>
    <row r="13" spans="1:13" x14ac:dyDescent="0.25">
      <c r="A13" s="93" t="s">
        <v>115</v>
      </c>
      <c r="B13" s="380">
        <f t="shared" ref="B13:K13" si="8">ROUNDDOWN(B12*$L$13,-3)</f>
        <v>189000</v>
      </c>
      <c r="C13" s="380">
        <f t="shared" si="8"/>
        <v>246000</v>
      </c>
      <c r="D13" s="380">
        <f t="shared" si="8"/>
        <v>320000</v>
      </c>
      <c r="E13" s="380">
        <f t="shared" si="8"/>
        <v>417000</v>
      </c>
      <c r="F13" s="382">
        <f t="shared" si="8"/>
        <v>542000</v>
      </c>
      <c r="G13" s="380">
        <f t="shared" si="8"/>
        <v>759000</v>
      </c>
      <c r="H13" s="380">
        <f t="shared" si="8"/>
        <v>1063000</v>
      </c>
      <c r="I13" s="380">
        <f t="shared" si="8"/>
        <v>1488000</v>
      </c>
      <c r="J13" s="380">
        <f t="shared" si="8"/>
        <v>2084000</v>
      </c>
      <c r="K13" s="380">
        <f t="shared" si="8"/>
        <v>2918000</v>
      </c>
      <c r="L13" s="95">
        <v>0.7</v>
      </c>
    </row>
    <row r="14" spans="1:13" ht="18" customHeight="1" x14ac:dyDescent="0.25">
      <c r="A14" s="93" t="s">
        <v>116</v>
      </c>
      <c r="B14" s="380">
        <f t="shared" ref="B14:K14" si="9">ROUNDDOWN(B12*$L$14,-3)</f>
        <v>81000</v>
      </c>
      <c r="C14" s="380">
        <f t="shared" si="9"/>
        <v>105000</v>
      </c>
      <c r="D14" s="380">
        <f t="shared" si="9"/>
        <v>137000</v>
      </c>
      <c r="E14" s="380">
        <f t="shared" si="9"/>
        <v>178000</v>
      </c>
      <c r="F14" s="382">
        <f t="shared" si="9"/>
        <v>232000</v>
      </c>
      <c r="G14" s="380">
        <f t="shared" si="9"/>
        <v>325000</v>
      </c>
      <c r="H14" s="380">
        <f t="shared" si="9"/>
        <v>455000</v>
      </c>
      <c r="I14" s="380">
        <f t="shared" si="9"/>
        <v>638000</v>
      </c>
      <c r="J14" s="380">
        <f t="shared" si="9"/>
        <v>893000</v>
      </c>
      <c r="K14" s="380">
        <f t="shared" si="9"/>
        <v>1250000</v>
      </c>
      <c r="L14" s="95">
        <v>0.3</v>
      </c>
    </row>
    <row r="15" spans="1:13" ht="18" customHeight="1" x14ac:dyDescent="0.25">
      <c r="A15" s="93" t="s">
        <v>26</v>
      </c>
      <c r="B15" s="380">
        <f t="shared" ref="B15:K15" si="10">ROUNDDOWN(B12*$L$15,-3)</f>
        <v>40000</v>
      </c>
      <c r="C15" s="380">
        <f t="shared" si="10"/>
        <v>52000</v>
      </c>
      <c r="D15" s="380">
        <f t="shared" si="10"/>
        <v>68000</v>
      </c>
      <c r="E15" s="380">
        <f t="shared" si="10"/>
        <v>89000</v>
      </c>
      <c r="F15" s="382">
        <f t="shared" si="10"/>
        <v>116000</v>
      </c>
      <c r="G15" s="380">
        <f t="shared" si="10"/>
        <v>162000</v>
      </c>
      <c r="H15" s="380">
        <f t="shared" si="10"/>
        <v>227000</v>
      </c>
      <c r="I15" s="380">
        <f t="shared" si="10"/>
        <v>319000</v>
      </c>
      <c r="J15" s="380">
        <f t="shared" si="10"/>
        <v>446000</v>
      </c>
      <c r="K15" s="380">
        <f t="shared" si="10"/>
        <v>625000</v>
      </c>
      <c r="L15" s="95">
        <v>0.15</v>
      </c>
    </row>
    <row r="16" spans="1:13" ht="18" customHeight="1" x14ac:dyDescent="0.25">
      <c r="A16" s="93" t="s">
        <v>101</v>
      </c>
      <c r="B16" s="380">
        <f t="shared" ref="B16:K16" si="11">ROUNDDOWN(B12*$L$16,-3)</f>
        <v>81000</v>
      </c>
      <c r="C16" s="380">
        <f t="shared" si="11"/>
        <v>105000</v>
      </c>
      <c r="D16" s="380">
        <f t="shared" si="11"/>
        <v>137000</v>
      </c>
      <c r="E16" s="380">
        <f t="shared" si="11"/>
        <v>178000</v>
      </c>
      <c r="F16" s="382">
        <f t="shared" si="11"/>
        <v>232000</v>
      </c>
      <c r="G16" s="380">
        <f t="shared" si="11"/>
        <v>325000</v>
      </c>
      <c r="H16" s="380">
        <f t="shared" si="11"/>
        <v>455000</v>
      </c>
      <c r="I16" s="380">
        <f t="shared" si="11"/>
        <v>638000</v>
      </c>
      <c r="J16" s="380">
        <f t="shared" si="11"/>
        <v>893000</v>
      </c>
      <c r="K16" s="380">
        <f t="shared" si="11"/>
        <v>1250000</v>
      </c>
      <c r="L16" s="95">
        <v>0.3</v>
      </c>
    </row>
    <row r="17" spans="1:12" s="386" customFormat="1" ht="36.75" customHeight="1" x14ac:dyDescent="0.25">
      <c r="A17" s="383" t="s">
        <v>129</v>
      </c>
      <c r="B17" s="384">
        <f t="shared" ref="B17:K17" si="12">ROUNDDOWN(B12*$L$17,-3)</f>
        <v>81000</v>
      </c>
      <c r="C17" s="384">
        <f t="shared" si="12"/>
        <v>105000</v>
      </c>
      <c r="D17" s="384">
        <f t="shared" si="12"/>
        <v>137000</v>
      </c>
      <c r="E17" s="384">
        <f t="shared" si="12"/>
        <v>178000</v>
      </c>
      <c r="F17" s="699">
        <f t="shared" si="12"/>
        <v>232000</v>
      </c>
      <c r="G17" s="384">
        <f t="shared" si="12"/>
        <v>325000</v>
      </c>
      <c r="H17" s="384">
        <f t="shared" si="12"/>
        <v>455000</v>
      </c>
      <c r="I17" s="384">
        <f t="shared" si="12"/>
        <v>638000</v>
      </c>
      <c r="J17" s="384">
        <f t="shared" si="12"/>
        <v>893000</v>
      </c>
      <c r="K17" s="384">
        <f t="shared" si="12"/>
        <v>1250000</v>
      </c>
      <c r="L17" s="385">
        <v>0.3</v>
      </c>
    </row>
    <row r="18" spans="1:12" ht="18" customHeight="1" x14ac:dyDescent="0.25">
      <c r="A18" s="93" t="s">
        <v>130</v>
      </c>
      <c r="B18" s="460">
        <f t="shared" ref="B18:K18" si="13">ROUNDDOWN(B12*$L$18,-3)</f>
        <v>203000</v>
      </c>
      <c r="C18" s="460">
        <f t="shared" si="13"/>
        <v>264000</v>
      </c>
      <c r="D18" s="460">
        <f t="shared" si="13"/>
        <v>343000</v>
      </c>
      <c r="E18" s="380">
        <f t="shared" si="13"/>
        <v>447000</v>
      </c>
      <c r="F18" s="382">
        <f t="shared" si="13"/>
        <v>581000</v>
      </c>
      <c r="G18" s="460">
        <f t="shared" si="13"/>
        <v>813000</v>
      </c>
      <c r="H18" s="460">
        <f t="shared" si="13"/>
        <v>1139000</v>
      </c>
      <c r="I18" s="460">
        <f t="shared" si="13"/>
        <v>1595000</v>
      </c>
      <c r="J18" s="460">
        <f t="shared" si="13"/>
        <v>2233000</v>
      </c>
      <c r="K18" s="460">
        <f t="shared" si="13"/>
        <v>3126000</v>
      </c>
      <c r="L18" s="461">
        <v>0.75</v>
      </c>
    </row>
    <row r="19" spans="1:12" ht="18" customHeight="1" x14ac:dyDescent="0.25">
      <c r="A19" s="93" t="s">
        <v>306</v>
      </c>
      <c r="B19" s="460">
        <f t="shared" ref="B19:K19" si="14">ROUNDDOWN(B12*$L$19,-3)</f>
        <v>121000</v>
      </c>
      <c r="C19" s="460">
        <f t="shared" si="14"/>
        <v>158000</v>
      </c>
      <c r="D19" s="460">
        <f t="shared" si="14"/>
        <v>206000</v>
      </c>
      <c r="E19" s="380">
        <f t="shared" si="14"/>
        <v>268000</v>
      </c>
      <c r="F19" s="382">
        <f t="shared" si="14"/>
        <v>348000</v>
      </c>
      <c r="G19" s="460">
        <f t="shared" si="14"/>
        <v>488000</v>
      </c>
      <c r="H19" s="460">
        <f t="shared" si="14"/>
        <v>683000</v>
      </c>
      <c r="I19" s="460">
        <f t="shared" si="14"/>
        <v>957000</v>
      </c>
      <c r="J19" s="460">
        <f t="shared" si="14"/>
        <v>1340000</v>
      </c>
      <c r="K19" s="460">
        <f t="shared" si="14"/>
        <v>1876000</v>
      </c>
      <c r="L19" s="461">
        <v>0.45</v>
      </c>
    </row>
    <row r="20" spans="1:12" ht="18" customHeight="1" x14ac:dyDescent="0.25">
      <c r="A20" s="93" t="s">
        <v>16</v>
      </c>
      <c r="B20" s="380">
        <f t="shared" ref="B20:K20" si="15">ROUNDDOWN(B12*$L$20,-3)</f>
        <v>132000</v>
      </c>
      <c r="C20" s="380">
        <f t="shared" si="15"/>
        <v>171000</v>
      </c>
      <c r="D20" s="380">
        <f t="shared" si="15"/>
        <v>223000</v>
      </c>
      <c r="E20" s="380">
        <f t="shared" si="15"/>
        <v>290000</v>
      </c>
      <c r="F20" s="382">
        <f t="shared" si="15"/>
        <v>377000</v>
      </c>
      <c r="G20" s="380">
        <f t="shared" si="15"/>
        <v>528000</v>
      </c>
      <c r="H20" s="380">
        <f t="shared" si="15"/>
        <v>740000</v>
      </c>
      <c r="I20" s="380">
        <f t="shared" si="15"/>
        <v>1036000</v>
      </c>
      <c r="J20" s="380">
        <f t="shared" si="15"/>
        <v>1451000</v>
      </c>
      <c r="K20" s="380">
        <f t="shared" si="15"/>
        <v>2032000</v>
      </c>
      <c r="L20" s="95">
        <f>75%-(75%*35%)</f>
        <v>0.48750000000000004</v>
      </c>
    </row>
    <row r="21" spans="1:12" ht="18" customHeight="1" x14ac:dyDescent="0.25">
      <c r="A21" s="93" t="s">
        <v>132</v>
      </c>
      <c r="B21" s="380">
        <f>ROUNDDOWN(0.3*$K$4,-3)</f>
        <v>70000</v>
      </c>
      <c r="C21" s="380">
        <f>ROUNDDOWN(B21*1.3,-3)</f>
        <v>91000</v>
      </c>
      <c r="D21" s="380">
        <f t="shared" ref="D21:I21" si="16">ROUNDDOWN(C21*1.3,-3)</f>
        <v>118000</v>
      </c>
      <c r="E21" s="380">
        <f t="shared" si="16"/>
        <v>153000</v>
      </c>
      <c r="F21" s="382">
        <f>ROUNDDOWN(D21*1.3,-3)</f>
        <v>153000</v>
      </c>
      <c r="G21" s="380">
        <f t="shared" si="16"/>
        <v>198000</v>
      </c>
      <c r="H21" s="380">
        <f t="shared" si="16"/>
        <v>257000</v>
      </c>
      <c r="I21" s="380">
        <f t="shared" si="16"/>
        <v>334000</v>
      </c>
      <c r="J21" s="380">
        <f>ROUNDDOWN(I21*1.3,-3)</f>
        <v>434000</v>
      </c>
      <c r="K21" s="380">
        <f>ROUNDDOWN(J21*1.3,-3)</f>
        <v>564000</v>
      </c>
      <c r="L21" s="95" t="s">
        <v>131</v>
      </c>
    </row>
    <row r="22" spans="1:12" ht="18" hidden="1" customHeight="1" x14ac:dyDescent="0.25">
      <c r="A22" s="98" t="s">
        <v>118</v>
      </c>
      <c r="B22" s="99"/>
      <c r="C22" s="100"/>
      <c r="D22" s="100"/>
      <c r="E22" s="100"/>
      <c r="F22" s="700"/>
      <c r="G22" s="101"/>
      <c r="H22" s="101"/>
      <c r="I22" s="101"/>
      <c r="J22" s="102"/>
      <c r="K22" s="102"/>
      <c r="L22" s="103"/>
    </row>
    <row r="23" spans="1:12" ht="18" hidden="1" customHeight="1" x14ac:dyDescent="0.25">
      <c r="A23" s="104" t="s">
        <v>119</v>
      </c>
      <c r="B23" s="105"/>
      <c r="C23" s="106"/>
      <c r="D23" s="106"/>
      <c r="E23" s="106"/>
      <c r="F23" s="701"/>
      <c r="G23" s="107"/>
      <c r="H23" s="107"/>
      <c r="I23" s="107"/>
      <c r="J23" s="108"/>
      <c r="K23" s="108"/>
      <c r="L23" s="109"/>
    </row>
    <row r="24" spans="1:12" ht="18" hidden="1" customHeight="1" x14ac:dyDescent="0.25">
      <c r="A24" s="104" t="s">
        <v>120</v>
      </c>
      <c r="B24" s="105"/>
      <c r="C24" s="106"/>
      <c r="D24" s="106"/>
      <c r="E24" s="106"/>
      <c r="F24" s="701"/>
      <c r="G24" s="107"/>
      <c r="H24" s="107"/>
      <c r="I24" s="107"/>
      <c r="J24" s="108"/>
      <c r="K24" s="108"/>
      <c r="L24" s="109"/>
    </row>
    <row r="25" spans="1:12" ht="18" hidden="1" customHeight="1" x14ac:dyDescent="0.25">
      <c r="A25" s="104" t="s">
        <v>122</v>
      </c>
      <c r="B25" s="105"/>
      <c r="C25" s="106"/>
      <c r="D25" s="106"/>
      <c r="E25" s="106"/>
      <c r="F25" s="701"/>
      <c r="G25" s="110"/>
      <c r="H25" s="110"/>
      <c r="I25" s="110"/>
      <c r="J25" s="111"/>
      <c r="K25" s="111"/>
      <c r="L25" s="109"/>
    </row>
    <row r="26" spans="1:12" ht="18" hidden="1" customHeight="1" x14ac:dyDescent="0.25">
      <c r="A26" s="112" t="s">
        <v>109</v>
      </c>
      <c r="B26" s="105"/>
      <c r="C26" s="106"/>
      <c r="D26" s="106"/>
      <c r="E26" s="106"/>
      <c r="F26" s="702"/>
      <c r="G26" s="107"/>
      <c r="H26" s="107"/>
      <c r="I26" s="107"/>
      <c r="J26" s="113"/>
      <c r="K26" s="113"/>
      <c r="L26" s="109"/>
    </row>
    <row r="27" spans="1:12" ht="18" hidden="1" customHeight="1" x14ac:dyDescent="0.25">
      <c r="A27" s="114" t="s">
        <v>110</v>
      </c>
      <c r="B27" s="115"/>
      <c r="C27" s="115"/>
      <c r="D27" s="115"/>
      <c r="E27" s="115"/>
      <c r="F27" s="703"/>
      <c r="G27" s="115"/>
      <c r="H27" s="115"/>
      <c r="I27" s="115"/>
      <c r="J27" s="115"/>
      <c r="K27" s="115"/>
      <c r="L27" s="116"/>
    </row>
    <row r="28" spans="1:12" s="87" customFormat="1" ht="21.75" customHeight="1" x14ac:dyDescent="0.25">
      <c r="A28" s="117" t="s">
        <v>17</v>
      </c>
      <c r="B28" s="118">
        <f>SUM(B7:B27)</f>
        <v>1753000</v>
      </c>
      <c r="C28" s="118">
        <f t="shared" ref="C28:J28" si="17">SUM(C7:C27)</f>
        <v>2159000</v>
      </c>
      <c r="D28" s="118">
        <f t="shared" si="17"/>
        <v>2811000</v>
      </c>
      <c r="E28" s="118">
        <f t="shared" si="17"/>
        <v>3658000</v>
      </c>
      <c r="F28" s="704">
        <f t="shared" si="17"/>
        <v>4711000</v>
      </c>
      <c r="G28" s="118">
        <f t="shared" si="17"/>
        <v>6581000</v>
      </c>
      <c r="H28" s="118">
        <f t="shared" si="17"/>
        <v>9197000</v>
      </c>
      <c r="I28" s="118">
        <f t="shared" si="17"/>
        <v>12856000</v>
      </c>
      <c r="J28" s="118">
        <f t="shared" si="17"/>
        <v>17968000</v>
      </c>
      <c r="K28" s="118">
        <f t="shared" ref="K28" si="18">SUM(K7:K27)</f>
        <v>25114000</v>
      </c>
      <c r="L28" s="119"/>
    </row>
  </sheetData>
  <mergeCells count="3">
    <mergeCell ref="A5:A6"/>
    <mergeCell ref="L5:L6"/>
    <mergeCell ref="I4:J4"/>
  </mergeCells>
  <phoneticPr fontId="51" type="noConversion"/>
  <pageMargins left="0.31496062992125984" right="0.11811023622047245" top="0.19685039370078741" bottom="0.19685039370078741"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163"/>
  <sheetViews>
    <sheetView view="pageBreakPreview" zoomScaleNormal="90" zoomScaleSheetLayoutView="100" workbookViewId="0">
      <selection activeCell="H6" sqref="H6"/>
    </sheetView>
  </sheetViews>
  <sheetFormatPr defaultColWidth="9.140625" defaultRowHeight="15.75" x14ac:dyDescent="0.25"/>
  <cols>
    <col min="1" max="1" width="6" style="81" customWidth="1"/>
    <col min="2" max="3" width="9.140625" style="81"/>
    <col min="4" max="4" width="7.42578125" style="81" customWidth="1"/>
    <col min="5" max="5" width="12.140625" style="123" customWidth="1"/>
    <col min="6" max="7" width="11.140625" style="155" customWidth="1"/>
    <col min="8" max="8" width="10.85546875" style="155" customWidth="1"/>
    <col min="9" max="9" width="11.140625" style="155" customWidth="1"/>
    <col min="10" max="10" width="12.42578125" style="155" customWidth="1"/>
    <col min="11" max="11" width="12.42578125" style="81" customWidth="1"/>
    <col min="12" max="12" width="13" style="81" customWidth="1"/>
    <col min="13" max="13" width="11.7109375" style="81" customWidth="1"/>
    <col min="14" max="14" width="11.42578125" style="81" customWidth="1"/>
    <col min="15" max="15" width="12.42578125" style="81" customWidth="1"/>
    <col min="16" max="16" width="13.28515625" style="81" customWidth="1"/>
    <col min="17" max="17" width="9.140625" style="81" customWidth="1"/>
    <col min="18" max="18" width="13.28515625" style="81" customWidth="1"/>
    <col min="19" max="16384" width="9.140625" style="81"/>
  </cols>
  <sheetData>
    <row r="1" spans="1:24" x14ac:dyDescent="0.25">
      <c r="C1" s="81" t="s">
        <v>180</v>
      </c>
    </row>
    <row r="2" spans="1:24" x14ac:dyDescent="0.25">
      <c r="B2" s="81" t="s">
        <v>334</v>
      </c>
    </row>
    <row r="4" spans="1:24" x14ac:dyDescent="0.25">
      <c r="A4" s="81" t="s">
        <v>181</v>
      </c>
      <c r="N4" s="82">
        <v>234000</v>
      </c>
      <c r="O4" s="82"/>
      <c r="P4" s="82"/>
    </row>
    <row r="5" spans="1:24" ht="18" customHeight="1" x14ac:dyDescent="0.25">
      <c r="A5" s="608" t="s">
        <v>182</v>
      </c>
      <c r="B5" s="608"/>
      <c r="C5" s="608"/>
      <c r="D5" s="608"/>
      <c r="E5" s="608"/>
      <c r="F5" s="429" t="s">
        <v>1</v>
      </c>
      <c r="G5" s="429" t="s">
        <v>2</v>
      </c>
      <c r="H5" s="429" t="s">
        <v>3</v>
      </c>
      <c r="I5" s="429" t="s">
        <v>4</v>
      </c>
      <c r="J5" s="429" t="s">
        <v>5</v>
      </c>
      <c r="K5" s="539" t="s">
        <v>125</v>
      </c>
      <c r="L5" s="539" t="s">
        <v>126</v>
      </c>
      <c r="M5" s="539" t="s">
        <v>127</v>
      </c>
      <c r="N5" s="539" t="s">
        <v>146</v>
      </c>
      <c r="O5" s="539" t="s">
        <v>147</v>
      </c>
      <c r="P5" s="539" t="s">
        <v>377</v>
      </c>
      <c r="Q5" s="4"/>
      <c r="T5" s="82"/>
      <c r="X5" s="174"/>
    </row>
    <row r="6" spans="1:24" ht="18" customHeight="1" x14ac:dyDescent="0.25">
      <c r="A6" s="608"/>
      <c r="B6" s="608"/>
      <c r="C6" s="608"/>
      <c r="D6" s="608"/>
      <c r="E6" s="608"/>
      <c r="F6" s="430">
        <v>1.67</v>
      </c>
      <c r="G6" s="431">
        <f>F6*1.3</f>
        <v>2.1709999999999998</v>
      </c>
      <c r="H6" s="431">
        <f t="shared" ref="H6:J6" si="0">G6*1.3</f>
        <v>2.8222999999999998</v>
      </c>
      <c r="I6" s="431">
        <f t="shared" si="0"/>
        <v>3.66899</v>
      </c>
      <c r="J6" s="431">
        <f t="shared" si="0"/>
        <v>4.7696870000000002</v>
      </c>
      <c r="K6" s="538">
        <f>J6*1.4</f>
        <v>6.6775618000000003</v>
      </c>
      <c r="L6" s="538">
        <f t="shared" ref="L6:P6" si="1">K6*1.4</f>
        <v>9.3485865199999996</v>
      </c>
      <c r="M6" s="538">
        <f t="shared" si="1"/>
        <v>13.088021127999999</v>
      </c>
      <c r="N6" s="538">
        <f t="shared" si="1"/>
        <v>18.3232295792</v>
      </c>
      <c r="O6" s="538">
        <f t="shared" si="1"/>
        <v>25.652521410879999</v>
      </c>
      <c r="P6" s="538">
        <f t="shared" si="1"/>
        <v>35.913529975231995</v>
      </c>
      <c r="Q6" s="175"/>
    </row>
    <row r="7" spans="1:24" ht="18" customHeight="1" x14ac:dyDescent="0.25">
      <c r="A7" s="81" t="s">
        <v>183</v>
      </c>
      <c r="F7" s="432"/>
      <c r="G7" s="432"/>
      <c r="H7" s="432"/>
      <c r="I7" s="432"/>
      <c r="J7" s="432"/>
      <c r="K7" s="248"/>
      <c r="L7" s="248"/>
      <c r="M7" s="248"/>
      <c r="N7" s="248"/>
      <c r="O7" s="248"/>
      <c r="P7" s="248"/>
    </row>
    <row r="8" spans="1:24" ht="18" customHeight="1" x14ac:dyDescent="0.25">
      <c r="A8" s="84" t="s">
        <v>28</v>
      </c>
      <c r="B8" s="609" t="s">
        <v>184</v>
      </c>
      <c r="C8" s="609"/>
      <c r="D8" s="610"/>
      <c r="E8" s="177" t="s">
        <v>185</v>
      </c>
      <c r="F8" s="433"/>
      <c r="G8" s="433"/>
      <c r="H8" s="433"/>
      <c r="I8" s="429"/>
      <c r="J8" s="429"/>
      <c r="K8" s="175"/>
      <c r="L8" s="175"/>
      <c r="M8" s="175"/>
      <c r="N8" s="175"/>
      <c r="O8" s="175"/>
      <c r="P8" s="175"/>
      <c r="Q8" s="178" t="s">
        <v>134</v>
      </c>
    </row>
    <row r="9" spans="1:24" ht="18" customHeight="1" x14ac:dyDescent="0.25">
      <c r="A9" s="179">
        <v>1</v>
      </c>
      <c r="B9" s="180" t="s">
        <v>186</v>
      </c>
      <c r="C9" s="181"/>
      <c r="D9" s="182"/>
      <c r="E9" s="179">
        <v>1</v>
      </c>
      <c r="F9" s="412">
        <f>ROUNDDOWN(F23*$Q$9,-3)</f>
        <v>253000</v>
      </c>
      <c r="G9" s="412">
        <f t="shared" ref="G9:P9" si="2">ROUNDDOWN(G23*$Q$9,-3)</f>
        <v>330000</v>
      </c>
      <c r="H9" s="412">
        <f t="shared" si="2"/>
        <v>429000</v>
      </c>
      <c r="I9" s="412">
        <f t="shared" si="2"/>
        <v>557000</v>
      </c>
      <c r="J9" s="412">
        <f t="shared" si="2"/>
        <v>725000</v>
      </c>
      <c r="K9" s="387">
        <f t="shared" si="2"/>
        <v>1015000</v>
      </c>
      <c r="L9" s="387">
        <f t="shared" si="2"/>
        <v>1421000</v>
      </c>
      <c r="M9" s="387">
        <f t="shared" si="2"/>
        <v>1990000</v>
      </c>
      <c r="N9" s="387">
        <f t="shared" si="2"/>
        <v>2786000</v>
      </c>
      <c r="O9" s="387">
        <f>ROUNDDOWN(O23*$Q$9,-3)</f>
        <v>3901000</v>
      </c>
      <c r="P9" s="387">
        <f t="shared" si="2"/>
        <v>5461000</v>
      </c>
      <c r="Q9" s="226">
        <f>100%-(100%*35%)</f>
        <v>0.65</v>
      </c>
    </row>
    <row r="10" spans="1:24" ht="18" customHeight="1" x14ac:dyDescent="0.25">
      <c r="A10" s="179">
        <v>2</v>
      </c>
      <c r="B10" s="180" t="s">
        <v>187</v>
      </c>
      <c r="C10" s="181"/>
      <c r="D10" s="182"/>
      <c r="E10" s="179">
        <v>1</v>
      </c>
      <c r="F10" s="412">
        <f>ROUNDDOWN(F23*$Q$10,-3)</f>
        <v>177000</v>
      </c>
      <c r="G10" s="412">
        <f t="shared" ref="G10:P10" si="3">ROUNDDOWN(G23*$Q$10,-3)</f>
        <v>231000</v>
      </c>
      <c r="H10" s="412">
        <f t="shared" si="3"/>
        <v>300000</v>
      </c>
      <c r="I10" s="412">
        <f t="shared" si="3"/>
        <v>390000</v>
      </c>
      <c r="J10" s="412">
        <f t="shared" si="3"/>
        <v>507000</v>
      </c>
      <c r="K10" s="387">
        <f t="shared" si="3"/>
        <v>710000</v>
      </c>
      <c r="L10" s="387">
        <f t="shared" si="3"/>
        <v>995000</v>
      </c>
      <c r="M10" s="387">
        <f t="shared" si="3"/>
        <v>1393000</v>
      </c>
      <c r="N10" s="387">
        <f t="shared" si="3"/>
        <v>1950000</v>
      </c>
      <c r="O10" s="387">
        <f t="shared" si="3"/>
        <v>2730000</v>
      </c>
      <c r="P10" s="387">
        <f t="shared" si="3"/>
        <v>3823000</v>
      </c>
      <c r="Q10" s="226">
        <f>70%-(70%*35%)</f>
        <v>0.45499999999999996</v>
      </c>
    </row>
    <row r="11" spans="1:24" ht="18" customHeight="1" x14ac:dyDescent="0.25">
      <c r="A11" s="179">
        <v>3</v>
      </c>
      <c r="B11" s="180" t="s">
        <v>188</v>
      </c>
      <c r="C11" s="181"/>
      <c r="D11" s="182"/>
      <c r="E11" s="179">
        <v>1</v>
      </c>
      <c r="F11" s="412">
        <f>ROUNDDOWN(F23*$Q$11,-3)</f>
        <v>170000</v>
      </c>
      <c r="G11" s="412">
        <f t="shared" ref="G11:P11" si="4">ROUNDDOWN(G23*$Q$11,-3)</f>
        <v>222000</v>
      </c>
      <c r="H11" s="412">
        <f t="shared" si="4"/>
        <v>288000</v>
      </c>
      <c r="I11" s="412">
        <f t="shared" si="4"/>
        <v>375000</v>
      </c>
      <c r="J11" s="412">
        <f t="shared" si="4"/>
        <v>488000</v>
      </c>
      <c r="K11" s="387">
        <f t="shared" si="4"/>
        <v>683000</v>
      </c>
      <c r="L11" s="387">
        <f t="shared" si="4"/>
        <v>956000</v>
      </c>
      <c r="M11" s="387">
        <f t="shared" si="4"/>
        <v>1339000</v>
      </c>
      <c r="N11" s="387">
        <f t="shared" si="4"/>
        <v>1875000</v>
      </c>
      <c r="O11" s="387">
        <f t="shared" si="4"/>
        <v>2625000</v>
      </c>
      <c r="P11" s="387">
        <f t="shared" si="4"/>
        <v>3676000</v>
      </c>
      <c r="Q11" s="226">
        <f>70%-(75%*35%)</f>
        <v>0.4375</v>
      </c>
    </row>
    <row r="12" spans="1:24" ht="18" customHeight="1" x14ac:dyDescent="0.25">
      <c r="A12" s="179">
        <v>4</v>
      </c>
      <c r="B12" s="180" t="s">
        <v>189</v>
      </c>
      <c r="C12" s="181"/>
      <c r="D12" s="182"/>
      <c r="E12" s="179">
        <v>1</v>
      </c>
      <c r="F12" s="412">
        <f>ROUNDDOWN(F23*$Q$12,-3)</f>
        <v>390000</v>
      </c>
      <c r="G12" s="412">
        <f t="shared" ref="G12:P12" si="5">ROUNDDOWN(G23*$Q$12,-3)</f>
        <v>508000</v>
      </c>
      <c r="H12" s="412">
        <f t="shared" si="5"/>
        <v>660000</v>
      </c>
      <c r="I12" s="412">
        <f t="shared" si="5"/>
        <v>858000</v>
      </c>
      <c r="J12" s="412">
        <f t="shared" si="5"/>
        <v>1116000</v>
      </c>
      <c r="K12" s="387">
        <f t="shared" si="5"/>
        <v>1562000</v>
      </c>
      <c r="L12" s="387">
        <f t="shared" si="5"/>
        <v>2187000</v>
      </c>
      <c r="M12" s="387">
        <f t="shared" si="5"/>
        <v>3062000</v>
      </c>
      <c r="N12" s="387">
        <f t="shared" si="5"/>
        <v>4287000</v>
      </c>
      <c r="O12" s="387">
        <f t="shared" si="5"/>
        <v>6002000</v>
      </c>
      <c r="P12" s="387">
        <f t="shared" si="5"/>
        <v>8403000</v>
      </c>
      <c r="Q12" s="226">
        <v>1</v>
      </c>
    </row>
    <row r="13" spans="1:24" ht="18" customHeight="1" x14ac:dyDescent="0.25">
      <c r="A13" s="179">
        <v>5</v>
      </c>
      <c r="B13" s="180" t="s">
        <v>190</v>
      </c>
      <c r="C13" s="181"/>
      <c r="D13" s="182"/>
      <c r="E13" s="179">
        <v>1</v>
      </c>
      <c r="F13" s="412">
        <f>ROUNDDOWN(F23*$Q$13,-3)</f>
        <v>390000</v>
      </c>
      <c r="G13" s="412">
        <f t="shared" ref="G13:P13" si="6">ROUNDDOWN(G23*$Q$13,-3)</f>
        <v>508000</v>
      </c>
      <c r="H13" s="412">
        <f t="shared" si="6"/>
        <v>660000</v>
      </c>
      <c r="I13" s="412">
        <f t="shared" si="6"/>
        <v>858000</v>
      </c>
      <c r="J13" s="412">
        <f t="shared" si="6"/>
        <v>1116000</v>
      </c>
      <c r="K13" s="387">
        <f t="shared" si="6"/>
        <v>1562000</v>
      </c>
      <c r="L13" s="387">
        <f t="shared" si="6"/>
        <v>2187000</v>
      </c>
      <c r="M13" s="387">
        <f t="shared" si="6"/>
        <v>3062000</v>
      </c>
      <c r="N13" s="387">
        <f t="shared" si="6"/>
        <v>4287000</v>
      </c>
      <c r="O13" s="387">
        <f t="shared" si="6"/>
        <v>6002000</v>
      </c>
      <c r="P13" s="387">
        <f t="shared" si="6"/>
        <v>8403000</v>
      </c>
      <c r="Q13" s="226">
        <v>1</v>
      </c>
    </row>
    <row r="14" spans="1:24" ht="18" customHeight="1" x14ac:dyDescent="0.25">
      <c r="A14" s="179">
        <v>6</v>
      </c>
      <c r="B14" s="180" t="s">
        <v>191</v>
      </c>
      <c r="C14" s="181"/>
      <c r="D14" s="182"/>
      <c r="E14" s="179">
        <v>1</v>
      </c>
      <c r="F14" s="412">
        <f>ROUNDDOWN(F23*$Q$14,-3)</f>
        <v>312000</v>
      </c>
      <c r="G14" s="412">
        <f t="shared" ref="G14:P14" si="7">ROUNDDOWN(G23*$Q$14,-3)</f>
        <v>406000</v>
      </c>
      <c r="H14" s="412">
        <f t="shared" si="7"/>
        <v>528000</v>
      </c>
      <c r="I14" s="412">
        <f t="shared" si="7"/>
        <v>686000</v>
      </c>
      <c r="J14" s="412">
        <f t="shared" si="7"/>
        <v>892000</v>
      </c>
      <c r="K14" s="387">
        <f t="shared" si="7"/>
        <v>1249000</v>
      </c>
      <c r="L14" s="387">
        <f t="shared" si="7"/>
        <v>1749000</v>
      </c>
      <c r="M14" s="387">
        <f t="shared" si="7"/>
        <v>2449000</v>
      </c>
      <c r="N14" s="387">
        <f t="shared" si="7"/>
        <v>3429000</v>
      </c>
      <c r="O14" s="387">
        <f t="shared" si="7"/>
        <v>4801000</v>
      </c>
      <c r="P14" s="387">
        <f t="shared" si="7"/>
        <v>6722000</v>
      </c>
      <c r="Q14" s="226">
        <v>0.8</v>
      </c>
    </row>
    <row r="15" spans="1:24" s="125" customFormat="1" ht="33.75" customHeight="1" x14ac:dyDescent="0.25">
      <c r="A15" s="184">
        <v>7</v>
      </c>
      <c r="B15" s="185" t="s">
        <v>192</v>
      </c>
      <c r="C15" s="186"/>
      <c r="D15" s="187"/>
      <c r="E15" s="184"/>
      <c r="F15" s="434"/>
      <c r="G15" s="434"/>
      <c r="H15" s="434"/>
      <c r="I15" s="434"/>
      <c r="J15" s="434"/>
      <c r="K15" s="188"/>
      <c r="L15" s="188"/>
      <c r="M15" s="188"/>
      <c r="N15" s="188"/>
      <c r="O15" s="188"/>
      <c r="P15" s="188"/>
      <c r="Q15" s="189" t="s">
        <v>193</v>
      </c>
    </row>
    <row r="16" spans="1:24" ht="18" customHeight="1" x14ac:dyDescent="0.25">
      <c r="A16" s="179">
        <v>8</v>
      </c>
      <c r="B16" s="180" t="s">
        <v>194</v>
      </c>
      <c r="C16" s="181"/>
      <c r="D16" s="182"/>
      <c r="E16" s="179" t="s">
        <v>195</v>
      </c>
      <c r="F16" s="412">
        <f>ROUNDDOWN(F23*$Q$16,-3)</f>
        <v>195000</v>
      </c>
      <c r="G16" s="412">
        <f t="shared" ref="G16:P16" si="8">ROUNDDOWN(G23*$Q$16,-3)</f>
        <v>254000</v>
      </c>
      <c r="H16" s="412">
        <f t="shared" si="8"/>
        <v>330000</v>
      </c>
      <c r="I16" s="412">
        <f t="shared" si="8"/>
        <v>429000</v>
      </c>
      <c r="J16" s="412">
        <f t="shared" si="8"/>
        <v>558000</v>
      </c>
      <c r="K16" s="387">
        <f t="shared" si="8"/>
        <v>781000</v>
      </c>
      <c r="L16" s="387">
        <f t="shared" si="8"/>
        <v>1093000</v>
      </c>
      <c r="M16" s="387">
        <f t="shared" si="8"/>
        <v>1531000</v>
      </c>
      <c r="N16" s="387">
        <f t="shared" si="8"/>
        <v>2143000</v>
      </c>
      <c r="O16" s="387">
        <f t="shared" si="8"/>
        <v>3001000</v>
      </c>
      <c r="P16" s="387">
        <f t="shared" si="8"/>
        <v>4201000</v>
      </c>
      <c r="Q16" s="244">
        <v>0.5</v>
      </c>
    </row>
    <row r="17" spans="1:17" ht="18" customHeight="1" x14ac:dyDescent="0.25">
      <c r="A17" s="179">
        <v>9</v>
      </c>
      <c r="B17" s="180" t="s">
        <v>196</v>
      </c>
      <c r="C17" s="181"/>
      <c r="D17" s="182"/>
      <c r="E17" s="179" t="s">
        <v>195</v>
      </c>
      <c r="F17" s="412">
        <f>ROUNDDOWN(F23*$Q$17,-3)</f>
        <v>117000</v>
      </c>
      <c r="G17" s="412">
        <f t="shared" ref="G17:P17" si="9">ROUNDDOWN(G23*$Q$17,-3)</f>
        <v>152000</v>
      </c>
      <c r="H17" s="412">
        <f t="shared" si="9"/>
        <v>198000</v>
      </c>
      <c r="I17" s="412">
        <f t="shared" si="9"/>
        <v>257000</v>
      </c>
      <c r="J17" s="412">
        <f t="shared" si="9"/>
        <v>334000</v>
      </c>
      <c r="K17" s="387">
        <f t="shared" si="9"/>
        <v>468000</v>
      </c>
      <c r="L17" s="387">
        <f t="shared" si="9"/>
        <v>656000</v>
      </c>
      <c r="M17" s="387">
        <f t="shared" si="9"/>
        <v>918000</v>
      </c>
      <c r="N17" s="387">
        <f t="shared" si="9"/>
        <v>1286000</v>
      </c>
      <c r="O17" s="387">
        <f t="shared" si="9"/>
        <v>1800000</v>
      </c>
      <c r="P17" s="387">
        <f t="shared" si="9"/>
        <v>2520000</v>
      </c>
      <c r="Q17" s="244">
        <v>0.3</v>
      </c>
    </row>
    <row r="18" spans="1:17" ht="18" customHeight="1" x14ac:dyDescent="0.25">
      <c r="A18" s="179">
        <v>10</v>
      </c>
      <c r="B18" s="180" t="s">
        <v>197</v>
      </c>
      <c r="C18" s="181"/>
      <c r="D18" s="182"/>
      <c r="E18" s="179" t="s">
        <v>195</v>
      </c>
      <c r="F18" s="412">
        <f>ROUNDDOWN(F23*$Q$18,-3)</f>
        <v>97000</v>
      </c>
      <c r="G18" s="412">
        <f t="shared" ref="G18:P18" si="10">ROUNDDOWN(G23*$Q$18,-3)</f>
        <v>127000</v>
      </c>
      <c r="H18" s="412">
        <f t="shared" si="10"/>
        <v>165000</v>
      </c>
      <c r="I18" s="412">
        <f t="shared" si="10"/>
        <v>214000</v>
      </c>
      <c r="J18" s="412">
        <f t="shared" si="10"/>
        <v>279000</v>
      </c>
      <c r="K18" s="387">
        <f t="shared" si="10"/>
        <v>390000</v>
      </c>
      <c r="L18" s="387">
        <f t="shared" si="10"/>
        <v>546000</v>
      </c>
      <c r="M18" s="387">
        <f t="shared" si="10"/>
        <v>765000</v>
      </c>
      <c r="N18" s="387">
        <f t="shared" si="10"/>
        <v>1071000</v>
      </c>
      <c r="O18" s="387">
        <f t="shared" si="10"/>
        <v>1500000</v>
      </c>
      <c r="P18" s="387">
        <f t="shared" si="10"/>
        <v>2100000</v>
      </c>
      <c r="Q18" s="244">
        <v>0.25</v>
      </c>
    </row>
    <row r="19" spans="1:17" s="144" customFormat="1" ht="18" customHeight="1" x14ac:dyDescent="0.25">
      <c r="A19" s="191"/>
      <c r="B19" s="192" t="s">
        <v>198</v>
      </c>
      <c r="C19" s="193"/>
      <c r="D19" s="194"/>
      <c r="E19" s="195"/>
      <c r="F19" s="406">
        <f t="shared" ref="F19:P19" si="11">SUM(F9:F18)</f>
        <v>2101000</v>
      </c>
      <c r="G19" s="406">
        <f t="shared" si="11"/>
        <v>2738000</v>
      </c>
      <c r="H19" s="406">
        <f t="shared" si="11"/>
        <v>3558000</v>
      </c>
      <c r="I19" s="406">
        <f t="shared" si="11"/>
        <v>4624000</v>
      </c>
      <c r="J19" s="406">
        <f t="shared" si="11"/>
        <v>6015000</v>
      </c>
      <c r="K19" s="406">
        <f t="shared" si="11"/>
        <v>8420000</v>
      </c>
      <c r="L19" s="406">
        <f t="shared" si="11"/>
        <v>11790000</v>
      </c>
      <c r="M19" s="406">
        <f t="shared" si="11"/>
        <v>16509000</v>
      </c>
      <c r="N19" s="406">
        <f t="shared" si="11"/>
        <v>23114000</v>
      </c>
      <c r="O19" s="406">
        <f t="shared" si="11"/>
        <v>32362000</v>
      </c>
      <c r="P19" s="406">
        <f t="shared" si="11"/>
        <v>45309000</v>
      </c>
      <c r="Q19" s="196"/>
    </row>
    <row r="20" spans="1:17" s="144" customFormat="1" ht="18" customHeight="1" x14ac:dyDescent="0.25">
      <c r="A20" s="144" t="s">
        <v>199</v>
      </c>
      <c r="D20" s="197"/>
      <c r="E20" s="198"/>
      <c r="F20" s="435"/>
      <c r="G20" s="435"/>
      <c r="H20" s="435"/>
      <c r="I20" s="435"/>
      <c r="J20" s="435"/>
      <c r="K20" s="425"/>
      <c r="L20" s="425"/>
      <c r="M20" s="425"/>
      <c r="N20" s="425"/>
      <c r="O20" s="425"/>
      <c r="P20" s="425"/>
    </row>
    <row r="21" spans="1:17" s="144" customFormat="1" ht="18" customHeight="1" x14ac:dyDescent="0.25">
      <c r="A21" s="199" t="s">
        <v>28</v>
      </c>
      <c r="B21" s="611" t="s">
        <v>184</v>
      </c>
      <c r="C21" s="612"/>
      <c r="D21" s="613"/>
      <c r="E21" s="199"/>
      <c r="F21" s="436"/>
      <c r="G21" s="436"/>
      <c r="H21" s="436"/>
      <c r="I21" s="406"/>
      <c r="J21" s="406"/>
      <c r="K21" s="196"/>
      <c r="L21" s="196"/>
      <c r="M21" s="196"/>
      <c r="N21" s="196"/>
      <c r="O21" s="196"/>
      <c r="P21" s="196"/>
      <c r="Q21" s="191"/>
    </row>
    <row r="22" spans="1:17" ht="18" customHeight="1" x14ac:dyDescent="0.25">
      <c r="A22" s="179">
        <v>1</v>
      </c>
      <c r="B22" s="180" t="s">
        <v>200</v>
      </c>
      <c r="C22" s="181"/>
      <c r="D22" s="182"/>
      <c r="E22" s="179">
        <v>1</v>
      </c>
      <c r="F22" s="412">
        <f>ROUNDDOWN(F23*$Q$22,-3)</f>
        <v>156000</v>
      </c>
      <c r="G22" s="412">
        <f t="shared" ref="G22:P22" si="12">ROUNDDOWN(G23*$Q$22,-3)</f>
        <v>203000</v>
      </c>
      <c r="H22" s="412">
        <f t="shared" si="12"/>
        <v>264000</v>
      </c>
      <c r="I22" s="412">
        <f t="shared" si="12"/>
        <v>343000</v>
      </c>
      <c r="J22" s="412">
        <f t="shared" si="12"/>
        <v>446000</v>
      </c>
      <c r="K22" s="387">
        <f t="shared" si="12"/>
        <v>624000</v>
      </c>
      <c r="L22" s="387">
        <f t="shared" si="12"/>
        <v>874000</v>
      </c>
      <c r="M22" s="387">
        <f t="shared" si="12"/>
        <v>1224000</v>
      </c>
      <c r="N22" s="387">
        <f t="shared" si="12"/>
        <v>1714000</v>
      </c>
      <c r="O22" s="387">
        <f t="shared" si="12"/>
        <v>2400000</v>
      </c>
      <c r="P22" s="387">
        <f t="shared" si="12"/>
        <v>3361000</v>
      </c>
      <c r="Q22" s="246">
        <v>0.4</v>
      </c>
    </row>
    <row r="23" spans="1:17" ht="18" customHeight="1" x14ac:dyDescent="0.25">
      <c r="A23" s="179">
        <v>2</v>
      </c>
      <c r="B23" s="180" t="s">
        <v>201</v>
      </c>
      <c r="C23" s="181"/>
      <c r="D23" s="182"/>
      <c r="E23" s="179" t="s">
        <v>195</v>
      </c>
      <c r="F23" s="414">
        <f t="shared" ref="F23:P23" si="13">ROUNDDOWN(F6*$N$4,-3)</f>
        <v>390000</v>
      </c>
      <c r="G23" s="414">
        <f t="shared" si="13"/>
        <v>508000</v>
      </c>
      <c r="H23" s="414">
        <f t="shared" si="13"/>
        <v>660000</v>
      </c>
      <c r="I23" s="414">
        <f t="shared" si="13"/>
        <v>858000</v>
      </c>
      <c r="J23" s="414">
        <f t="shared" si="13"/>
        <v>1116000</v>
      </c>
      <c r="K23" s="403">
        <f t="shared" si="13"/>
        <v>1562000</v>
      </c>
      <c r="L23" s="403">
        <f t="shared" si="13"/>
        <v>2187000</v>
      </c>
      <c r="M23" s="403">
        <f t="shared" si="13"/>
        <v>3062000</v>
      </c>
      <c r="N23" s="403">
        <f t="shared" si="13"/>
        <v>4287000</v>
      </c>
      <c r="O23" s="403">
        <f t="shared" si="13"/>
        <v>6002000</v>
      </c>
      <c r="P23" s="403">
        <f t="shared" si="13"/>
        <v>8403000</v>
      </c>
      <c r="Q23" s="247">
        <v>1</v>
      </c>
    </row>
    <row r="24" spans="1:17" ht="18" customHeight="1" x14ac:dyDescent="0.25">
      <c r="A24" s="179">
        <v>3</v>
      </c>
      <c r="B24" s="185" t="s">
        <v>202</v>
      </c>
      <c r="C24" s="186"/>
      <c r="D24" s="187"/>
      <c r="E24" s="184">
        <v>1</v>
      </c>
      <c r="F24" s="412">
        <f>ROUNDDOWN(F23*$Q$24,-3)</f>
        <v>234000</v>
      </c>
      <c r="G24" s="412">
        <f t="shared" ref="G24:P24" si="14">ROUNDDOWN(G23*$Q$24,-3)</f>
        <v>304000</v>
      </c>
      <c r="H24" s="412">
        <f t="shared" si="14"/>
        <v>396000</v>
      </c>
      <c r="I24" s="412">
        <f t="shared" si="14"/>
        <v>514000</v>
      </c>
      <c r="J24" s="412">
        <f t="shared" si="14"/>
        <v>669000</v>
      </c>
      <c r="K24" s="387">
        <f t="shared" si="14"/>
        <v>937000</v>
      </c>
      <c r="L24" s="387">
        <f t="shared" si="14"/>
        <v>1312000</v>
      </c>
      <c r="M24" s="387">
        <f t="shared" si="14"/>
        <v>1837000</v>
      </c>
      <c r="N24" s="387">
        <f t="shared" si="14"/>
        <v>2572000</v>
      </c>
      <c r="O24" s="387">
        <f t="shared" si="14"/>
        <v>3601000</v>
      </c>
      <c r="P24" s="387">
        <f t="shared" si="14"/>
        <v>5041000</v>
      </c>
      <c r="Q24" s="245">
        <v>0.6</v>
      </c>
    </row>
    <row r="25" spans="1:17" ht="18" customHeight="1" x14ac:dyDescent="0.25">
      <c r="A25" s="179">
        <v>4</v>
      </c>
      <c r="B25" s="185" t="s">
        <v>203</v>
      </c>
      <c r="C25" s="186"/>
      <c r="D25" s="187"/>
      <c r="E25" s="184">
        <v>1</v>
      </c>
      <c r="F25" s="412">
        <f>ROUNDDOWN(F23*$Q$25,-3)</f>
        <v>156000</v>
      </c>
      <c r="G25" s="412">
        <f t="shared" ref="G25:P25" si="15">ROUNDDOWN(G23*$Q$25,-3)</f>
        <v>203000</v>
      </c>
      <c r="H25" s="412">
        <f t="shared" si="15"/>
        <v>264000</v>
      </c>
      <c r="I25" s="412">
        <f t="shared" si="15"/>
        <v>343000</v>
      </c>
      <c r="J25" s="412">
        <f t="shared" si="15"/>
        <v>446000</v>
      </c>
      <c r="K25" s="387">
        <f t="shared" si="15"/>
        <v>624000</v>
      </c>
      <c r="L25" s="387">
        <f t="shared" si="15"/>
        <v>874000</v>
      </c>
      <c r="M25" s="387">
        <f t="shared" si="15"/>
        <v>1224000</v>
      </c>
      <c r="N25" s="387">
        <f t="shared" si="15"/>
        <v>1714000</v>
      </c>
      <c r="O25" s="387">
        <f t="shared" si="15"/>
        <v>2400000</v>
      </c>
      <c r="P25" s="387">
        <f t="shared" si="15"/>
        <v>3361000</v>
      </c>
      <c r="Q25" s="245">
        <v>0.4</v>
      </c>
    </row>
    <row r="26" spans="1:17" ht="18" customHeight="1" x14ac:dyDescent="0.25">
      <c r="A26" s="179">
        <v>5</v>
      </c>
      <c r="B26" s="180" t="s">
        <v>204</v>
      </c>
      <c r="C26" s="181"/>
      <c r="D26" s="80"/>
      <c r="E26" s="179">
        <v>1</v>
      </c>
      <c r="F26" s="412">
        <f>ROUNDDOWN(F23*$Q$26,-3)</f>
        <v>312000</v>
      </c>
      <c r="G26" s="412">
        <f t="shared" ref="G26:P26" si="16">ROUNDDOWN(G23*$Q$26,-3)</f>
        <v>406000</v>
      </c>
      <c r="H26" s="412">
        <f t="shared" si="16"/>
        <v>528000</v>
      </c>
      <c r="I26" s="412">
        <f t="shared" si="16"/>
        <v>686000</v>
      </c>
      <c r="J26" s="412">
        <f t="shared" si="16"/>
        <v>892000</v>
      </c>
      <c r="K26" s="387">
        <f t="shared" si="16"/>
        <v>1249000</v>
      </c>
      <c r="L26" s="387">
        <f t="shared" si="16"/>
        <v>1749000</v>
      </c>
      <c r="M26" s="387">
        <f t="shared" si="16"/>
        <v>2449000</v>
      </c>
      <c r="N26" s="387">
        <f t="shared" si="16"/>
        <v>3429000</v>
      </c>
      <c r="O26" s="387">
        <f t="shared" si="16"/>
        <v>4801000</v>
      </c>
      <c r="P26" s="387">
        <f t="shared" si="16"/>
        <v>6722000</v>
      </c>
      <c r="Q26" s="226">
        <v>0.8</v>
      </c>
    </row>
    <row r="27" spans="1:17" ht="18" customHeight="1" x14ac:dyDescent="0.25">
      <c r="A27" s="179">
        <v>6</v>
      </c>
      <c r="B27" s="180" t="s">
        <v>205</v>
      </c>
      <c r="C27" s="181"/>
      <c r="D27" s="182"/>
      <c r="E27" s="179">
        <v>1</v>
      </c>
      <c r="F27" s="412">
        <f>ROUNDDOWN(F23*$Q$27,-3)</f>
        <v>156000</v>
      </c>
      <c r="G27" s="412">
        <f t="shared" ref="G27:P27" si="17">ROUNDDOWN(G23*$Q$27,-3)</f>
        <v>203000</v>
      </c>
      <c r="H27" s="412">
        <f t="shared" si="17"/>
        <v>264000</v>
      </c>
      <c r="I27" s="412">
        <f t="shared" si="17"/>
        <v>343000</v>
      </c>
      <c r="J27" s="412">
        <f t="shared" si="17"/>
        <v>446000</v>
      </c>
      <c r="K27" s="387">
        <f t="shared" si="17"/>
        <v>624000</v>
      </c>
      <c r="L27" s="387">
        <f t="shared" si="17"/>
        <v>874000</v>
      </c>
      <c r="M27" s="387">
        <f t="shared" si="17"/>
        <v>1224000</v>
      </c>
      <c r="N27" s="387">
        <f t="shared" si="17"/>
        <v>1714000</v>
      </c>
      <c r="O27" s="387">
        <f t="shared" si="17"/>
        <v>2400000</v>
      </c>
      <c r="P27" s="387">
        <f t="shared" si="17"/>
        <v>3361000</v>
      </c>
      <c r="Q27" s="226">
        <v>0.4</v>
      </c>
    </row>
    <row r="28" spans="1:17" ht="18" customHeight="1" x14ac:dyDescent="0.25">
      <c r="A28" s="179">
        <v>7</v>
      </c>
      <c r="B28" s="180" t="s">
        <v>335</v>
      </c>
      <c r="C28" s="181"/>
      <c r="D28" s="182"/>
      <c r="E28" s="179">
        <v>1</v>
      </c>
      <c r="F28" s="412">
        <f>ROUNDDOWN(F23*$Q$28,-3)</f>
        <v>156000</v>
      </c>
      <c r="G28" s="412">
        <f t="shared" ref="G28:P28" si="18">ROUNDDOWN(G23*$Q$28,-3)</f>
        <v>203000</v>
      </c>
      <c r="H28" s="412">
        <f t="shared" si="18"/>
        <v>264000</v>
      </c>
      <c r="I28" s="412">
        <f t="shared" si="18"/>
        <v>343000</v>
      </c>
      <c r="J28" s="412">
        <f t="shared" si="18"/>
        <v>446000</v>
      </c>
      <c r="K28" s="387">
        <f t="shared" si="18"/>
        <v>624000</v>
      </c>
      <c r="L28" s="387">
        <f t="shared" si="18"/>
        <v>874000</v>
      </c>
      <c r="M28" s="387">
        <f t="shared" si="18"/>
        <v>1224000</v>
      </c>
      <c r="N28" s="387">
        <f t="shared" si="18"/>
        <v>1714000</v>
      </c>
      <c r="O28" s="387">
        <f t="shared" si="18"/>
        <v>2400000</v>
      </c>
      <c r="P28" s="387">
        <f t="shared" si="18"/>
        <v>3361000</v>
      </c>
      <c r="Q28" s="226">
        <v>0.4</v>
      </c>
    </row>
    <row r="29" spans="1:17" ht="18" customHeight="1" x14ac:dyDescent="0.25">
      <c r="A29" s="179">
        <v>8</v>
      </c>
      <c r="B29" s="180" t="s">
        <v>206</v>
      </c>
      <c r="C29" s="181"/>
      <c r="D29" s="182"/>
      <c r="E29" s="179"/>
      <c r="F29" s="412"/>
      <c r="G29" s="412"/>
      <c r="H29" s="416"/>
      <c r="I29" s="417"/>
      <c r="J29" s="417"/>
      <c r="K29" s="200"/>
      <c r="L29" s="200"/>
      <c r="M29" s="200"/>
      <c r="N29" s="200"/>
      <c r="O29" s="200"/>
      <c r="P29" s="200"/>
      <c r="Q29" s="183"/>
    </row>
    <row r="30" spans="1:17" ht="18" customHeight="1" x14ac:dyDescent="0.25">
      <c r="A30" s="179" t="s">
        <v>207</v>
      </c>
      <c r="B30" s="180" t="s">
        <v>208</v>
      </c>
      <c r="C30" s="181"/>
      <c r="D30" s="182"/>
      <c r="E30" s="179">
        <v>1</v>
      </c>
      <c r="F30" s="412">
        <f>ROUNDDOWN(F23*$Q$30,-3)</f>
        <v>195000</v>
      </c>
      <c r="G30" s="412">
        <f t="shared" ref="G30:P30" si="19">ROUNDDOWN(G23*$Q$30,-3)</f>
        <v>254000</v>
      </c>
      <c r="H30" s="412">
        <f t="shared" si="19"/>
        <v>330000</v>
      </c>
      <c r="I30" s="412">
        <f t="shared" si="19"/>
        <v>429000</v>
      </c>
      <c r="J30" s="412">
        <f t="shared" si="19"/>
        <v>558000</v>
      </c>
      <c r="K30" s="387">
        <f t="shared" si="19"/>
        <v>781000</v>
      </c>
      <c r="L30" s="387">
        <f t="shared" si="19"/>
        <v>1093000</v>
      </c>
      <c r="M30" s="387">
        <f t="shared" si="19"/>
        <v>1531000</v>
      </c>
      <c r="N30" s="387">
        <f t="shared" si="19"/>
        <v>2143000</v>
      </c>
      <c r="O30" s="387">
        <f t="shared" si="19"/>
        <v>3001000</v>
      </c>
      <c r="P30" s="387">
        <f t="shared" si="19"/>
        <v>4201000</v>
      </c>
      <c r="Q30" s="244">
        <v>0.5</v>
      </c>
    </row>
    <row r="31" spans="1:17" ht="18" customHeight="1" x14ac:dyDescent="0.25">
      <c r="A31" s="179" t="s">
        <v>209</v>
      </c>
      <c r="B31" s="180" t="s">
        <v>206</v>
      </c>
      <c r="C31" s="181"/>
      <c r="D31" s="182"/>
      <c r="E31" s="179">
        <v>1</v>
      </c>
      <c r="F31" s="412">
        <f>ROUNDDOWN(F23*$Q$31,-3)</f>
        <v>156000</v>
      </c>
      <c r="G31" s="412">
        <f t="shared" ref="G31:P31" si="20">ROUNDDOWN(G23*$Q$31,-3)</f>
        <v>203000</v>
      </c>
      <c r="H31" s="412">
        <f t="shared" si="20"/>
        <v>264000</v>
      </c>
      <c r="I31" s="412">
        <f t="shared" si="20"/>
        <v>343000</v>
      </c>
      <c r="J31" s="412">
        <f t="shared" si="20"/>
        <v>446000</v>
      </c>
      <c r="K31" s="387">
        <f t="shared" si="20"/>
        <v>624000</v>
      </c>
      <c r="L31" s="387">
        <f t="shared" si="20"/>
        <v>874000</v>
      </c>
      <c r="M31" s="387">
        <f t="shared" si="20"/>
        <v>1224000</v>
      </c>
      <c r="N31" s="387">
        <f t="shared" si="20"/>
        <v>1714000</v>
      </c>
      <c r="O31" s="387">
        <f t="shared" si="20"/>
        <v>2400000</v>
      </c>
      <c r="P31" s="387">
        <f t="shared" si="20"/>
        <v>3361000</v>
      </c>
      <c r="Q31" s="226">
        <v>0.4</v>
      </c>
    </row>
    <row r="32" spans="1:17" ht="18" customHeight="1" x14ac:dyDescent="0.25">
      <c r="A32" s="179" t="s">
        <v>210</v>
      </c>
      <c r="B32" s="180" t="s">
        <v>211</v>
      </c>
      <c r="C32" s="181"/>
      <c r="D32" s="182"/>
      <c r="E32" s="179">
        <v>1</v>
      </c>
      <c r="F32" s="412">
        <f>ROUNDDOWN(F23*$Q$32,-3)</f>
        <v>78000</v>
      </c>
      <c r="G32" s="412">
        <f t="shared" ref="G32:P32" si="21">ROUNDDOWN(G23*$Q$32,-3)</f>
        <v>101000</v>
      </c>
      <c r="H32" s="412">
        <f t="shared" si="21"/>
        <v>132000</v>
      </c>
      <c r="I32" s="412">
        <f t="shared" si="21"/>
        <v>171000</v>
      </c>
      <c r="J32" s="412">
        <f t="shared" si="21"/>
        <v>223000</v>
      </c>
      <c r="K32" s="387">
        <f t="shared" si="21"/>
        <v>312000</v>
      </c>
      <c r="L32" s="387">
        <f t="shared" si="21"/>
        <v>437000</v>
      </c>
      <c r="M32" s="387">
        <f t="shared" si="21"/>
        <v>612000</v>
      </c>
      <c r="N32" s="387">
        <f t="shared" si="21"/>
        <v>857000</v>
      </c>
      <c r="O32" s="387">
        <f t="shared" si="21"/>
        <v>1200000</v>
      </c>
      <c r="P32" s="387">
        <f t="shared" si="21"/>
        <v>1680000</v>
      </c>
      <c r="Q32" s="226">
        <v>0.2</v>
      </c>
    </row>
    <row r="33" spans="1:17" ht="18" customHeight="1" x14ac:dyDescent="0.25">
      <c r="A33" s="179" t="s">
        <v>212</v>
      </c>
      <c r="B33" s="180" t="s">
        <v>213</v>
      </c>
      <c r="C33" s="181"/>
      <c r="D33" s="182"/>
      <c r="E33" s="179">
        <v>1</v>
      </c>
      <c r="F33" s="412">
        <f>ROUNDDOWN(F23*$Q$33,-3)</f>
        <v>195000</v>
      </c>
      <c r="G33" s="412">
        <f t="shared" ref="G33:P33" si="22">ROUNDDOWN(G23*$Q$33,-3)</f>
        <v>254000</v>
      </c>
      <c r="H33" s="412">
        <f t="shared" si="22"/>
        <v>330000</v>
      </c>
      <c r="I33" s="412">
        <f t="shared" si="22"/>
        <v>429000</v>
      </c>
      <c r="J33" s="412">
        <f t="shared" si="22"/>
        <v>558000</v>
      </c>
      <c r="K33" s="387">
        <f t="shared" si="22"/>
        <v>781000</v>
      </c>
      <c r="L33" s="387">
        <f t="shared" si="22"/>
        <v>1093000</v>
      </c>
      <c r="M33" s="387">
        <f t="shared" si="22"/>
        <v>1531000</v>
      </c>
      <c r="N33" s="387">
        <f t="shared" si="22"/>
        <v>2143000</v>
      </c>
      <c r="O33" s="387">
        <f t="shared" si="22"/>
        <v>3001000</v>
      </c>
      <c r="P33" s="387">
        <f t="shared" si="22"/>
        <v>4201000</v>
      </c>
      <c r="Q33" s="244">
        <v>0.5</v>
      </c>
    </row>
    <row r="34" spans="1:17" ht="18" customHeight="1" x14ac:dyDescent="0.25">
      <c r="A34" s="179">
        <v>9</v>
      </c>
      <c r="B34" s="180" t="s">
        <v>214</v>
      </c>
      <c r="C34" s="181"/>
      <c r="D34" s="182"/>
      <c r="E34" s="179"/>
      <c r="F34" s="412">
        <f t="shared" ref="F34" si="23">ROUNDDOWN(F20*40%,-3)</f>
        <v>0</v>
      </c>
      <c r="G34" s="416"/>
      <c r="H34" s="416"/>
      <c r="I34" s="417"/>
      <c r="J34" s="419"/>
      <c r="K34" s="404"/>
      <c r="L34" s="404"/>
      <c r="M34" s="404"/>
      <c r="N34" s="404"/>
      <c r="O34" s="404"/>
      <c r="P34" s="404"/>
      <c r="Q34" s="190"/>
    </row>
    <row r="35" spans="1:17" ht="18" customHeight="1" x14ac:dyDescent="0.25">
      <c r="A35" s="179" t="s">
        <v>215</v>
      </c>
      <c r="B35" s="180" t="s">
        <v>216</v>
      </c>
      <c r="C35" s="181"/>
      <c r="D35" s="182"/>
      <c r="E35" s="179">
        <v>1</v>
      </c>
      <c r="F35" s="412">
        <f>ROUNDDOWN(F23*$Q$35,-3)</f>
        <v>195000</v>
      </c>
      <c r="G35" s="412">
        <f t="shared" ref="G35:P35" si="24">ROUNDDOWN(G23*$Q$35,-3)</f>
        <v>254000</v>
      </c>
      <c r="H35" s="412">
        <f t="shared" si="24"/>
        <v>330000</v>
      </c>
      <c r="I35" s="412">
        <f t="shared" si="24"/>
        <v>429000</v>
      </c>
      <c r="J35" s="412">
        <f t="shared" si="24"/>
        <v>558000</v>
      </c>
      <c r="K35" s="387">
        <f t="shared" si="24"/>
        <v>781000</v>
      </c>
      <c r="L35" s="387">
        <f t="shared" si="24"/>
        <v>1093000</v>
      </c>
      <c r="M35" s="387">
        <f t="shared" si="24"/>
        <v>1531000</v>
      </c>
      <c r="N35" s="387">
        <f t="shared" si="24"/>
        <v>2143000</v>
      </c>
      <c r="O35" s="387">
        <f t="shared" si="24"/>
        <v>3001000</v>
      </c>
      <c r="P35" s="387">
        <f t="shared" si="24"/>
        <v>4201000</v>
      </c>
      <c r="Q35" s="244">
        <v>0.5</v>
      </c>
    </row>
    <row r="36" spans="1:17" ht="18" customHeight="1" x14ac:dyDescent="0.25">
      <c r="A36" s="201" t="s">
        <v>217</v>
      </c>
      <c r="B36" s="180" t="s">
        <v>218</v>
      </c>
      <c r="C36" s="181"/>
      <c r="D36" s="182"/>
      <c r="E36" s="179">
        <v>1</v>
      </c>
      <c r="F36" s="412">
        <f>ROUNDDOWN(F23*$Q$36,-3)</f>
        <v>156000</v>
      </c>
      <c r="G36" s="412">
        <f t="shared" ref="G36:P36" si="25">ROUNDDOWN(G23*$Q$36,-3)</f>
        <v>203000</v>
      </c>
      <c r="H36" s="412">
        <f t="shared" si="25"/>
        <v>264000</v>
      </c>
      <c r="I36" s="412">
        <f t="shared" si="25"/>
        <v>343000</v>
      </c>
      <c r="J36" s="412">
        <f t="shared" si="25"/>
        <v>446000</v>
      </c>
      <c r="K36" s="387">
        <f t="shared" si="25"/>
        <v>624000</v>
      </c>
      <c r="L36" s="387">
        <f t="shared" si="25"/>
        <v>874000</v>
      </c>
      <c r="M36" s="387">
        <f t="shared" si="25"/>
        <v>1224000</v>
      </c>
      <c r="N36" s="387">
        <f t="shared" si="25"/>
        <v>1714000</v>
      </c>
      <c r="O36" s="387">
        <f t="shared" si="25"/>
        <v>2400000</v>
      </c>
      <c r="P36" s="387">
        <f t="shared" si="25"/>
        <v>3361000</v>
      </c>
      <c r="Q36" s="244">
        <v>0.4</v>
      </c>
    </row>
    <row r="37" spans="1:17" ht="18" customHeight="1" x14ac:dyDescent="0.25">
      <c r="A37" s="179" t="s">
        <v>219</v>
      </c>
      <c r="B37" s="202" t="s">
        <v>220</v>
      </c>
      <c r="C37" s="203"/>
      <c r="D37" s="204"/>
      <c r="E37" s="179">
        <v>1</v>
      </c>
      <c r="F37" s="412">
        <f>ROUNDDOWN(F23*$Q$37,-3)</f>
        <v>117000</v>
      </c>
      <c r="G37" s="412">
        <f t="shared" ref="G37:P37" si="26">ROUNDDOWN(G23*$Q$37,-3)</f>
        <v>152000</v>
      </c>
      <c r="H37" s="412">
        <f t="shared" si="26"/>
        <v>198000</v>
      </c>
      <c r="I37" s="412">
        <f t="shared" si="26"/>
        <v>257000</v>
      </c>
      <c r="J37" s="412">
        <f t="shared" si="26"/>
        <v>334000</v>
      </c>
      <c r="K37" s="387">
        <f t="shared" si="26"/>
        <v>468000</v>
      </c>
      <c r="L37" s="387">
        <f t="shared" si="26"/>
        <v>656000</v>
      </c>
      <c r="M37" s="387">
        <f t="shared" si="26"/>
        <v>918000</v>
      </c>
      <c r="N37" s="387">
        <f t="shared" si="26"/>
        <v>1286000</v>
      </c>
      <c r="O37" s="387">
        <f t="shared" si="26"/>
        <v>1800000</v>
      </c>
      <c r="P37" s="387">
        <f t="shared" si="26"/>
        <v>2520000</v>
      </c>
      <c r="Q37" s="244">
        <v>0.3</v>
      </c>
    </row>
    <row r="38" spans="1:17" ht="18" customHeight="1" x14ac:dyDescent="0.25">
      <c r="A38" s="201" t="s">
        <v>221</v>
      </c>
      <c r="B38" s="202" t="s">
        <v>222</v>
      </c>
      <c r="C38" s="203"/>
      <c r="D38" s="204"/>
      <c r="E38" s="179">
        <v>1</v>
      </c>
      <c r="F38" s="412">
        <f>ROUNDDOWN(F23*$Q$38,-3)</f>
        <v>234000</v>
      </c>
      <c r="G38" s="412">
        <f t="shared" ref="G38:P38" si="27">ROUNDDOWN(G23*$Q$38,-3)</f>
        <v>304000</v>
      </c>
      <c r="H38" s="412">
        <f t="shared" si="27"/>
        <v>396000</v>
      </c>
      <c r="I38" s="412">
        <f t="shared" si="27"/>
        <v>514000</v>
      </c>
      <c r="J38" s="412">
        <f t="shared" si="27"/>
        <v>669000</v>
      </c>
      <c r="K38" s="387">
        <f t="shared" si="27"/>
        <v>937000</v>
      </c>
      <c r="L38" s="387">
        <f t="shared" si="27"/>
        <v>1312000</v>
      </c>
      <c r="M38" s="387">
        <f t="shared" si="27"/>
        <v>1837000</v>
      </c>
      <c r="N38" s="387">
        <f t="shared" si="27"/>
        <v>2572000</v>
      </c>
      <c r="O38" s="387">
        <f t="shared" si="27"/>
        <v>3601000</v>
      </c>
      <c r="P38" s="387">
        <f t="shared" si="27"/>
        <v>5041000</v>
      </c>
      <c r="Q38" s="244">
        <v>0.6</v>
      </c>
    </row>
    <row r="39" spans="1:17" ht="18" customHeight="1" x14ac:dyDescent="0.25">
      <c r="A39" s="179" t="s">
        <v>223</v>
      </c>
      <c r="B39" s="202" t="s">
        <v>224</v>
      </c>
      <c r="C39" s="203"/>
      <c r="D39" s="204"/>
      <c r="E39" s="179">
        <v>1</v>
      </c>
      <c r="F39" s="412">
        <f>ROUNDDOWN(F23*$Q$39,-3)</f>
        <v>117000</v>
      </c>
      <c r="G39" s="412">
        <f t="shared" ref="G39:P39" si="28">ROUNDDOWN(G23*$Q$39,-3)</f>
        <v>152000</v>
      </c>
      <c r="H39" s="412">
        <f t="shared" si="28"/>
        <v>198000</v>
      </c>
      <c r="I39" s="412">
        <f t="shared" si="28"/>
        <v>257000</v>
      </c>
      <c r="J39" s="412">
        <f t="shared" si="28"/>
        <v>334000</v>
      </c>
      <c r="K39" s="387">
        <f t="shared" si="28"/>
        <v>468000</v>
      </c>
      <c r="L39" s="387">
        <f t="shared" si="28"/>
        <v>656000</v>
      </c>
      <c r="M39" s="387">
        <f t="shared" si="28"/>
        <v>918000</v>
      </c>
      <c r="N39" s="387">
        <f t="shared" si="28"/>
        <v>1286000</v>
      </c>
      <c r="O39" s="387">
        <f t="shared" si="28"/>
        <v>1800000</v>
      </c>
      <c r="P39" s="387">
        <f t="shared" si="28"/>
        <v>2520000</v>
      </c>
      <c r="Q39" s="244">
        <v>0.3</v>
      </c>
    </row>
    <row r="40" spans="1:17" ht="18" customHeight="1" x14ac:dyDescent="0.25">
      <c r="A40" s="201" t="s">
        <v>225</v>
      </c>
      <c r="B40" s="202" t="s">
        <v>226</v>
      </c>
      <c r="C40" s="203"/>
      <c r="D40" s="204"/>
      <c r="E40" s="179">
        <v>1</v>
      </c>
      <c r="F40" s="412">
        <f>ROUNDDOWN(F23*$Q$40,-3)</f>
        <v>234000</v>
      </c>
      <c r="G40" s="412">
        <f t="shared" ref="G40:P40" si="29">ROUNDDOWN(G23*$Q$40,-3)</f>
        <v>304000</v>
      </c>
      <c r="H40" s="412">
        <f t="shared" si="29"/>
        <v>396000</v>
      </c>
      <c r="I40" s="412">
        <f t="shared" si="29"/>
        <v>514000</v>
      </c>
      <c r="J40" s="412">
        <f t="shared" si="29"/>
        <v>669000</v>
      </c>
      <c r="K40" s="387">
        <f t="shared" si="29"/>
        <v>937000</v>
      </c>
      <c r="L40" s="387">
        <f t="shared" si="29"/>
        <v>1312000</v>
      </c>
      <c r="M40" s="387">
        <f t="shared" si="29"/>
        <v>1837000</v>
      </c>
      <c r="N40" s="387">
        <f t="shared" si="29"/>
        <v>2572000</v>
      </c>
      <c r="O40" s="387">
        <f t="shared" si="29"/>
        <v>3601000</v>
      </c>
      <c r="P40" s="387">
        <f t="shared" si="29"/>
        <v>5041000</v>
      </c>
      <c r="Q40" s="244">
        <v>0.6</v>
      </c>
    </row>
    <row r="41" spans="1:17" ht="18" customHeight="1" x14ac:dyDescent="0.25">
      <c r="A41" s="179" t="s">
        <v>227</v>
      </c>
      <c r="B41" s="202" t="s">
        <v>228</v>
      </c>
      <c r="C41" s="203"/>
      <c r="D41" s="204"/>
      <c r="E41" s="179">
        <v>1</v>
      </c>
      <c r="F41" s="412">
        <f>ROUNDDOWN(F23*$Q$41,-3)</f>
        <v>117000</v>
      </c>
      <c r="G41" s="412">
        <f t="shared" ref="G41:P41" si="30">ROUNDDOWN(G23*$Q$41,-3)</f>
        <v>152000</v>
      </c>
      <c r="H41" s="412">
        <f t="shared" si="30"/>
        <v>198000</v>
      </c>
      <c r="I41" s="412">
        <f t="shared" si="30"/>
        <v>257000</v>
      </c>
      <c r="J41" s="412">
        <f t="shared" si="30"/>
        <v>334000</v>
      </c>
      <c r="K41" s="387">
        <f t="shared" si="30"/>
        <v>468000</v>
      </c>
      <c r="L41" s="387">
        <f t="shared" si="30"/>
        <v>656000</v>
      </c>
      <c r="M41" s="387">
        <f t="shared" si="30"/>
        <v>918000</v>
      </c>
      <c r="N41" s="387">
        <f t="shared" si="30"/>
        <v>1286000</v>
      </c>
      <c r="O41" s="387">
        <f t="shared" si="30"/>
        <v>1800000</v>
      </c>
      <c r="P41" s="387">
        <f t="shared" si="30"/>
        <v>2520000</v>
      </c>
      <c r="Q41" s="244">
        <v>0.3</v>
      </c>
    </row>
    <row r="42" spans="1:17" ht="18" customHeight="1" x14ac:dyDescent="0.25">
      <c r="A42" s="201" t="s">
        <v>229</v>
      </c>
      <c r="B42" s="180" t="s">
        <v>230</v>
      </c>
      <c r="C42" s="181"/>
      <c r="D42" s="182"/>
      <c r="E42" s="179" t="s">
        <v>195</v>
      </c>
      <c r="F42" s="412">
        <f>ROUNDDOWN(F23*$Q$42,-3)</f>
        <v>156000</v>
      </c>
      <c r="G42" s="412">
        <f t="shared" ref="G42:P42" si="31">ROUNDDOWN(G23*$Q$42,-3)</f>
        <v>203000</v>
      </c>
      <c r="H42" s="412">
        <f t="shared" si="31"/>
        <v>264000</v>
      </c>
      <c r="I42" s="412">
        <f t="shared" si="31"/>
        <v>343000</v>
      </c>
      <c r="J42" s="412">
        <f t="shared" si="31"/>
        <v>446000</v>
      </c>
      <c r="K42" s="387">
        <f t="shared" si="31"/>
        <v>624000</v>
      </c>
      <c r="L42" s="387">
        <f t="shared" si="31"/>
        <v>874000</v>
      </c>
      <c r="M42" s="387">
        <f t="shared" si="31"/>
        <v>1224000</v>
      </c>
      <c r="N42" s="387">
        <f t="shared" si="31"/>
        <v>1714000</v>
      </c>
      <c r="O42" s="387">
        <f t="shared" si="31"/>
        <v>2400000</v>
      </c>
      <c r="P42" s="387">
        <f t="shared" si="31"/>
        <v>3361000</v>
      </c>
      <c r="Q42" s="244">
        <v>0.4</v>
      </c>
    </row>
    <row r="43" spans="1:17" ht="18" customHeight="1" x14ac:dyDescent="0.25">
      <c r="A43" s="179" t="s">
        <v>231</v>
      </c>
      <c r="B43" s="180" t="s">
        <v>232</v>
      </c>
      <c r="C43" s="181"/>
      <c r="D43" s="182"/>
      <c r="E43" s="179">
        <v>1</v>
      </c>
      <c r="F43" s="412">
        <f>ROUNDDOWN(F23*$Q$43,-3)</f>
        <v>117000</v>
      </c>
      <c r="G43" s="412">
        <f t="shared" ref="G43:P43" si="32">ROUNDDOWN(G23*$Q$43,-3)</f>
        <v>152000</v>
      </c>
      <c r="H43" s="412">
        <f t="shared" si="32"/>
        <v>198000</v>
      </c>
      <c r="I43" s="412">
        <f t="shared" si="32"/>
        <v>257000</v>
      </c>
      <c r="J43" s="412">
        <f t="shared" si="32"/>
        <v>334000</v>
      </c>
      <c r="K43" s="387">
        <f t="shared" si="32"/>
        <v>468000</v>
      </c>
      <c r="L43" s="387">
        <f t="shared" si="32"/>
        <v>656000</v>
      </c>
      <c r="M43" s="387">
        <f t="shared" si="32"/>
        <v>918000</v>
      </c>
      <c r="N43" s="387">
        <f t="shared" si="32"/>
        <v>1286000</v>
      </c>
      <c r="O43" s="387">
        <f t="shared" si="32"/>
        <v>1800000</v>
      </c>
      <c r="P43" s="387">
        <f t="shared" si="32"/>
        <v>2520000</v>
      </c>
      <c r="Q43" s="244">
        <v>0.3</v>
      </c>
    </row>
    <row r="44" spans="1:17" ht="18" customHeight="1" x14ac:dyDescent="0.25">
      <c r="A44" s="201" t="s">
        <v>233</v>
      </c>
      <c r="B44" s="180" t="s">
        <v>234</v>
      </c>
      <c r="C44" s="181"/>
      <c r="D44" s="182"/>
      <c r="E44" s="179">
        <v>1</v>
      </c>
      <c r="F44" s="412">
        <f>ROUNDDOWN(F23*$Q$44,-3)</f>
        <v>78000</v>
      </c>
      <c r="G44" s="412">
        <f t="shared" ref="G44:P44" si="33">ROUNDDOWN(G23*$Q$44,-3)</f>
        <v>101000</v>
      </c>
      <c r="H44" s="412">
        <f t="shared" si="33"/>
        <v>132000</v>
      </c>
      <c r="I44" s="412">
        <f t="shared" si="33"/>
        <v>171000</v>
      </c>
      <c r="J44" s="412">
        <f t="shared" si="33"/>
        <v>223000</v>
      </c>
      <c r="K44" s="387">
        <f t="shared" si="33"/>
        <v>312000</v>
      </c>
      <c r="L44" s="387">
        <f t="shared" si="33"/>
        <v>437000</v>
      </c>
      <c r="M44" s="387">
        <f t="shared" si="33"/>
        <v>612000</v>
      </c>
      <c r="N44" s="387">
        <f t="shared" si="33"/>
        <v>857000</v>
      </c>
      <c r="O44" s="387">
        <f t="shared" si="33"/>
        <v>1200000</v>
      </c>
      <c r="P44" s="387">
        <f t="shared" si="33"/>
        <v>1680000</v>
      </c>
      <c r="Q44" s="244">
        <v>0.2</v>
      </c>
    </row>
    <row r="45" spans="1:17" ht="18" customHeight="1" x14ac:dyDescent="0.25">
      <c r="A45" s="179" t="s">
        <v>235</v>
      </c>
      <c r="B45" s="205" t="s">
        <v>236</v>
      </c>
      <c r="C45" s="181"/>
      <c r="D45" s="182"/>
      <c r="E45" s="179" t="s">
        <v>195</v>
      </c>
      <c r="F45" s="412">
        <f>ROUNDDOWN(F23*$Q$45,-3)</f>
        <v>39000</v>
      </c>
      <c r="G45" s="412">
        <f t="shared" ref="G45:P45" si="34">ROUNDDOWN(G23*$Q$45,-3)</f>
        <v>50000</v>
      </c>
      <c r="H45" s="412">
        <f t="shared" si="34"/>
        <v>66000</v>
      </c>
      <c r="I45" s="412">
        <f t="shared" si="34"/>
        <v>85000</v>
      </c>
      <c r="J45" s="412">
        <f t="shared" si="34"/>
        <v>111000</v>
      </c>
      <c r="K45" s="387">
        <f t="shared" si="34"/>
        <v>156000</v>
      </c>
      <c r="L45" s="387">
        <f t="shared" si="34"/>
        <v>218000</v>
      </c>
      <c r="M45" s="387">
        <f t="shared" si="34"/>
        <v>306000</v>
      </c>
      <c r="N45" s="387">
        <f t="shared" si="34"/>
        <v>428000</v>
      </c>
      <c r="O45" s="387">
        <f t="shared" si="34"/>
        <v>600000</v>
      </c>
      <c r="P45" s="387">
        <f t="shared" si="34"/>
        <v>840000</v>
      </c>
      <c r="Q45" s="226">
        <v>0.1</v>
      </c>
    </row>
    <row r="46" spans="1:17" ht="18" customHeight="1" x14ac:dyDescent="0.25">
      <c r="A46" s="201" t="s">
        <v>237</v>
      </c>
      <c r="B46" s="205" t="s">
        <v>238</v>
      </c>
      <c r="C46" s="181"/>
      <c r="D46" s="182"/>
      <c r="E46" s="179" t="s">
        <v>195</v>
      </c>
      <c r="F46" s="412">
        <f>ROUNDDOWN(F23*$Q$46,-3)</f>
        <v>39000</v>
      </c>
      <c r="G46" s="412">
        <f t="shared" ref="G46:P46" si="35">ROUNDDOWN(G23*$Q$46,-3)</f>
        <v>50000</v>
      </c>
      <c r="H46" s="412">
        <f t="shared" si="35"/>
        <v>66000</v>
      </c>
      <c r="I46" s="412">
        <f t="shared" si="35"/>
        <v>85000</v>
      </c>
      <c r="J46" s="412">
        <f t="shared" si="35"/>
        <v>111000</v>
      </c>
      <c r="K46" s="387">
        <f t="shared" si="35"/>
        <v>156000</v>
      </c>
      <c r="L46" s="387">
        <f t="shared" si="35"/>
        <v>218000</v>
      </c>
      <c r="M46" s="387">
        <f t="shared" si="35"/>
        <v>306000</v>
      </c>
      <c r="N46" s="387">
        <f t="shared" si="35"/>
        <v>428000</v>
      </c>
      <c r="O46" s="387">
        <f t="shared" si="35"/>
        <v>600000</v>
      </c>
      <c r="P46" s="387">
        <f t="shared" si="35"/>
        <v>840000</v>
      </c>
      <c r="Q46" s="226">
        <v>0.1</v>
      </c>
    </row>
    <row r="47" spans="1:17" s="144" customFormat="1" ht="18" customHeight="1" x14ac:dyDescent="0.25">
      <c r="A47" s="195"/>
      <c r="B47" s="192" t="s">
        <v>239</v>
      </c>
      <c r="C47" s="193"/>
      <c r="D47" s="194"/>
      <c r="E47" s="195"/>
      <c r="F47" s="420">
        <f t="shared" ref="F47:P47" si="36">SUM(F22:F46)</f>
        <v>3783000</v>
      </c>
      <c r="G47" s="420">
        <f t="shared" si="36"/>
        <v>4919000</v>
      </c>
      <c r="H47" s="420">
        <f t="shared" si="36"/>
        <v>6402000</v>
      </c>
      <c r="I47" s="420">
        <f t="shared" si="36"/>
        <v>8314000</v>
      </c>
      <c r="J47" s="420">
        <f t="shared" si="36"/>
        <v>10815000</v>
      </c>
      <c r="K47" s="405">
        <f t="shared" si="36"/>
        <v>15141000</v>
      </c>
      <c r="L47" s="405">
        <f t="shared" si="36"/>
        <v>21203000</v>
      </c>
      <c r="M47" s="405">
        <f t="shared" si="36"/>
        <v>29691000</v>
      </c>
      <c r="N47" s="405">
        <f t="shared" si="36"/>
        <v>41573000</v>
      </c>
      <c r="O47" s="405">
        <f t="shared" si="36"/>
        <v>58209000</v>
      </c>
      <c r="P47" s="405">
        <f t="shared" si="36"/>
        <v>81498000</v>
      </c>
      <c r="Q47" s="191"/>
    </row>
    <row r="48" spans="1:17" s="144" customFormat="1" ht="18" customHeight="1" x14ac:dyDescent="0.25">
      <c r="A48" s="144" t="s">
        <v>240</v>
      </c>
      <c r="D48" s="197"/>
      <c r="E48" s="195"/>
      <c r="F48" s="435"/>
      <c r="G48" s="435"/>
      <c r="H48" s="435"/>
      <c r="I48" s="437"/>
      <c r="J48" s="437"/>
      <c r="K48" s="426"/>
      <c r="L48" s="425"/>
      <c r="M48" s="425"/>
      <c r="N48" s="425"/>
      <c r="O48" s="425"/>
      <c r="P48" s="425"/>
    </row>
    <row r="49" spans="1:17" s="144" customFormat="1" ht="18" customHeight="1" x14ac:dyDescent="0.25">
      <c r="A49" s="199" t="s">
        <v>28</v>
      </c>
      <c r="B49" s="611" t="s">
        <v>184</v>
      </c>
      <c r="C49" s="612"/>
      <c r="D49" s="613"/>
      <c r="E49" s="199"/>
      <c r="F49" s="436"/>
      <c r="G49" s="436"/>
      <c r="H49" s="436"/>
      <c r="I49" s="406"/>
      <c r="J49" s="406"/>
      <c r="K49" s="196"/>
      <c r="L49" s="196"/>
      <c r="M49" s="196"/>
      <c r="N49" s="196"/>
      <c r="O49" s="196"/>
      <c r="P49" s="196"/>
      <c r="Q49" s="191"/>
    </row>
    <row r="50" spans="1:17" ht="18" customHeight="1" x14ac:dyDescent="0.25">
      <c r="A50" s="179">
        <v>1</v>
      </c>
      <c r="B50" s="614" t="s">
        <v>241</v>
      </c>
      <c r="C50" s="615"/>
      <c r="D50" s="616"/>
      <c r="E50" s="179" t="s">
        <v>195</v>
      </c>
      <c r="F50" s="412">
        <f>ROUNDDOWN(F23*$Q$50,-3)</f>
        <v>195000</v>
      </c>
      <c r="G50" s="412">
        <f t="shared" ref="G50:P50" si="37">ROUNDDOWN(G23*$Q$50,-3)</f>
        <v>254000</v>
      </c>
      <c r="H50" s="412">
        <f t="shared" si="37"/>
        <v>330000</v>
      </c>
      <c r="I50" s="412">
        <f t="shared" si="37"/>
        <v>429000</v>
      </c>
      <c r="J50" s="412">
        <f t="shared" si="37"/>
        <v>558000</v>
      </c>
      <c r="K50" s="387">
        <f t="shared" si="37"/>
        <v>781000</v>
      </c>
      <c r="L50" s="387">
        <f t="shared" si="37"/>
        <v>1093000</v>
      </c>
      <c r="M50" s="387">
        <f t="shared" si="37"/>
        <v>1531000</v>
      </c>
      <c r="N50" s="387">
        <f t="shared" si="37"/>
        <v>2143000</v>
      </c>
      <c r="O50" s="387">
        <f t="shared" si="37"/>
        <v>3001000</v>
      </c>
      <c r="P50" s="387">
        <f t="shared" si="37"/>
        <v>4201000</v>
      </c>
      <c r="Q50" s="244">
        <v>0.5</v>
      </c>
    </row>
    <row r="51" spans="1:17" ht="18" customHeight="1" x14ac:dyDescent="0.25">
      <c r="A51" s="201">
        <v>2</v>
      </c>
      <c r="B51" s="205" t="s">
        <v>242</v>
      </c>
      <c r="C51" s="181"/>
      <c r="D51" s="182"/>
      <c r="E51" s="179" t="s">
        <v>195</v>
      </c>
      <c r="F51" s="412">
        <f>ROUNDDOWN(F23*$Q$51,-3)</f>
        <v>195000</v>
      </c>
      <c r="G51" s="412">
        <f t="shared" ref="G51:P51" si="38">ROUNDDOWN(G23*$Q$51,-3)</f>
        <v>254000</v>
      </c>
      <c r="H51" s="412">
        <f t="shared" si="38"/>
        <v>330000</v>
      </c>
      <c r="I51" s="412">
        <f t="shared" si="38"/>
        <v>429000</v>
      </c>
      <c r="J51" s="412">
        <f t="shared" si="38"/>
        <v>558000</v>
      </c>
      <c r="K51" s="387">
        <f t="shared" si="38"/>
        <v>781000</v>
      </c>
      <c r="L51" s="387">
        <f t="shared" si="38"/>
        <v>1093000</v>
      </c>
      <c r="M51" s="387">
        <f t="shared" si="38"/>
        <v>1531000</v>
      </c>
      <c r="N51" s="387">
        <f t="shared" si="38"/>
        <v>2143000</v>
      </c>
      <c r="O51" s="387">
        <f t="shared" si="38"/>
        <v>3001000</v>
      </c>
      <c r="P51" s="387">
        <f t="shared" si="38"/>
        <v>4201000</v>
      </c>
      <c r="Q51" s="244">
        <v>0.5</v>
      </c>
    </row>
    <row r="52" spans="1:17" ht="18" customHeight="1" x14ac:dyDescent="0.25">
      <c r="A52" s="179">
        <v>3</v>
      </c>
      <c r="B52" s="614" t="s">
        <v>243</v>
      </c>
      <c r="C52" s="615"/>
      <c r="D52" s="616"/>
      <c r="E52" s="179">
        <v>1</v>
      </c>
      <c r="F52" s="412">
        <f>ROUNDDOWN(F23*$Q$52,-3)</f>
        <v>195000</v>
      </c>
      <c r="G52" s="412">
        <f t="shared" ref="G52:P52" si="39">ROUNDDOWN(G23*$Q$52,-3)</f>
        <v>254000</v>
      </c>
      <c r="H52" s="412">
        <f t="shared" si="39"/>
        <v>330000</v>
      </c>
      <c r="I52" s="412">
        <f t="shared" si="39"/>
        <v>429000</v>
      </c>
      <c r="J52" s="412">
        <f t="shared" si="39"/>
        <v>558000</v>
      </c>
      <c r="K52" s="387">
        <f t="shared" si="39"/>
        <v>781000</v>
      </c>
      <c r="L52" s="387">
        <f t="shared" si="39"/>
        <v>1093000</v>
      </c>
      <c r="M52" s="387">
        <f t="shared" si="39"/>
        <v>1531000</v>
      </c>
      <c r="N52" s="387">
        <f t="shared" si="39"/>
        <v>2143000</v>
      </c>
      <c r="O52" s="387">
        <f t="shared" si="39"/>
        <v>3001000</v>
      </c>
      <c r="P52" s="387">
        <f t="shared" si="39"/>
        <v>4201000</v>
      </c>
      <c r="Q52" s="226">
        <v>0.5</v>
      </c>
    </row>
    <row r="53" spans="1:17" ht="18" customHeight="1" x14ac:dyDescent="0.25">
      <c r="A53" s="179">
        <v>4</v>
      </c>
      <c r="B53" s="614" t="s">
        <v>244</v>
      </c>
      <c r="C53" s="615"/>
      <c r="D53" s="616"/>
      <c r="E53" s="179">
        <v>1</v>
      </c>
      <c r="F53" s="412">
        <f>ROUNDDOWN(F23*$Q$53,-3)</f>
        <v>117000</v>
      </c>
      <c r="G53" s="412">
        <f t="shared" ref="G53:P53" si="40">ROUNDDOWN(G23*$Q$53,-3)</f>
        <v>152000</v>
      </c>
      <c r="H53" s="412">
        <f t="shared" si="40"/>
        <v>198000</v>
      </c>
      <c r="I53" s="412">
        <f t="shared" si="40"/>
        <v>257000</v>
      </c>
      <c r="J53" s="412">
        <f t="shared" si="40"/>
        <v>334000</v>
      </c>
      <c r="K53" s="387">
        <f t="shared" si="40"/>
        <v>468000</v>
      </c>
      <c r="L53" s="387">
        <f t="shared" si="40"/>
        <v>656000</v>
      </c>
      <c r="M53" s="387">
        <f t="shared" si="40"/>
        <v>918000</v>
      </c>
      <c r="N53" s="387">
        <f t="shared" si="40"/>
        <v>1286000</v>
      </c>
      <c r="O53" s="387">
        <f t="shared" si="40"/>
        <v>1800000</v>
      </c>
      <c r="P53" s="387">
        <f t="shared" si="40"/>
        <v>2520000</v>
      </c>
      <c r="Q53" s="226">
        <v>0.3</v>
      </c>
    </row>
    <row r="54" spans="1:17" ht="18" customHeight="1" x14ac:dyDescent="0.25">
      <c r="A54" s="201">
        <v>5</v>
      </c>
      <c r="B54" s="614" t="s">
        <v>245</v>
      </c>
      <c r="C54" s="615"/>
      <c r="D54" s="616"/>
      <c r="E54" s="179" t="s">
        <v>195</v>
      </c>
      <c r="F54" s="617" t="s">
        <v>246</v>
      </c>
      <c r="G54" s="618"/>
      <c r="H54" s="618"/>
      <c r="I54" s="618"/>
      <c r="J54" s="618"/>
      <c r="K54" s="618"/>
      <c r="L54" s="618"/>
      <c r="M54" s="618"/>
      <c r="N54" s="619"/>
      <c r="O54" s="427"/>
      <c r="P54" s="427"/>
      <c r="Q54" s="175"/>
    </row>
    <row r="55" spans="1:17" s="125" customFormat="1" ht="33.75" customHeight="1" x14ac:dyDescent="0.25">
      <c r="A55" s="184">
        <v>6</v>
      </c>
      <c r="B55" s="620" t="s">
        <v>247</v>
      </c>
      <c r="C55" s="621"/>
      <c r="D55" s="622"/>
      <c r="E55" s="184">
        <v>1</v>
      </c>
      <c r="F55" s="438">
        <f>ROUNDDOWN(F23*$Q$55,-3)</f>
        <v>136000</v>
      </c>
      <c r="G55" s="438">
        <f t="shared" ref="G55:P55" si="41">ROUNDDOWN(G23*$Q$55,-3)</f>
        <v>177000</v>
      </c>
      <c r="H55" s="438">
        <f t="shared" si="41"/>
        <v>231000</v>
      </c>
      <c r="I55" s="438">
        <f t="shared" si="41"/>
        <v>300000</v>
      </c>
      <c r="J55" s="438">
        <f t="shared" si="41"/>
        <v>390000</v>
      </c>
      <c r="K55" s="428">
        <f t="shared" si="41"/>
        <v>546000</v>
      </c>
      <c r="L55" s="428">
        <f t="shared" si="41"/>
        <v>765000</v>
      </c>
      <c r="M55" s="428">
        <f t="shared" si="41"/>
        <v>1071000</v>
      </c>
      <c r="N55" s="428">
        <f t="shared" si="41"/>
        <v>1500000</v>
      </c>
      <c r="O55" s="428">
        <f t="shared" si="41"/>
        <v>2100000</v>
      </c>
      <c r="P55" s="428">
        <f t="shared" si="41"/>
        <v>2941000</v>
      </c>
      <c r="Q55" s="249">
        <v>0.35</v>
      </c>
    </row>
    <row r="56" spans="1:17" ht="18" customHeight="1" x14ac:dyDescent="0.25">
      <c r="A56" s="179" t="s">
        <v>248</v>
      </c>
      <c r="B56" s="614" t="s">
        <v>249</v>
      </c>
      <c r="C56" s="615"/>
      <c r="D56" s="616"/>
      <c r="E56" s="179">
        <v>1</v>
      </c>
      <c r="F56" s="412">
        <f>ROUNDDOWN(F23*$Q$56,-3)</f>
        <v>156000</v>
      </c>
      <c r="G56" s="412">
        <f t="shared" ref="G56:P56" si="42">ROUNDDOWN(G23*$Q$56,-3)</f>
        <v>203000</v>
      </c>
      <c r="H56" s="412">
        <f t="shared" si="42"/>
        <v>264000</v>
      </c>
      <c r="I56" s="412">
        <f t="shared" si="42"/>
        <v>343000</v>
      </c>
      <c r="J56" s="412">
        <f t="shared" si="42"/>
        <v>446000</v>
      </c>
      <c r="K56" s="387">
        <f t="shared" si="42"/>
        <v>624000</v>
      </c>
      <c r="L56" s="387">
        <f t="shared" si="42"/>
        <v>874000</v>
      </c>
      <c r="M56" s="387">
        <f t="shared" si="42"/>
        <v>1224000</v>
      </c>
      <c r="N56" s="387">
        <f t="shared" si="42"/>
        <v>1714000</v>
      </c>
      <c r="O56" s="387">
        <f t="shared" si="42"/>
        <v>2400000</v>
      </c>
      <c r="P56" s="387">
        <f t="shared" si="42"/>
        <v>3361000</v>
      </c>
      <c r="Q56" s="244">
        <v>0.4</v>
      </c>
    </row>
    <row r="57" spans="1:17" ht="18" customHeight="1" x14ac:dyDescent="0.25">
      <c r="A57" s="179" t="s">
        <v>250</v>
      </c>
      <c r="B57" s="207" t="s">
        <v>251</v>
      </c>
      <c r="C57" s="208"/>
      <c r="D57" s="209"/>
      <c r="E57" s="179">
        <v>1</v>
      </c>
      <c r="F57" s="412">
        <f>ROUNDDOWN(F23*$Q$57,-3)</f>
        <v>117000</v>
      </c>
      <c r="G57" s="412">
        <f t="shared" ref="G57:P57" si="43">ROUNDDOWN(G23*$Q$57,-3)</f>
        <v>152000</v>
      </c>
      <c r="H57" s="412">
        <f t="shared" si="43"/>
        <v>198000</v>
      </c>
      <c r="I57" s="412">
        <f t="shared" si="43"/>
        <v>257000</v>
      </c>
      <c r="J57" s="412">
        <f t="shared" si="43"/>
        <v>334000</v>
      </c>
      <c r="K57" s="387">
        <f t="shared" si="43"/>
        <v>468000</v>
      </c>
      <c r="L57" s="387">
        <f t="shared" si="43"/>
        <v>656000</v>
      </c>
      <c r="M57" s="387">
        <f t="shared" si="43"/>
        <v>918000</v>
      </c>
      <c r="N57" s="387">
        <f t="shared" si="43"/>
        <v>1286000</v>
      </c>
      <c r="O57" s="387">
        <f t="shared" si="43"/>
        <v>1800000</v>
      </c>
      <c r="P57" s="387">
        <f t="shared" si="43"/>
        <v>2520000</v>
      </c>
      <c r="Q57" s="244">
        <v>0.3</v>
      </c>
    </row>
    <row r="58" spans="1:17" ht="18" customHeight="1" x14ac:dyDescent="0.25">
      <c r="A58" s="179" t="s">
        <v>252</v>
      </c>
      <c r="B58" s="614" t="s">
        <v>253</v>
      </c>
      <c r="C58" s="615"/>
      <c r="D58" s="616"/>
      <c r="E58" s="179">
        <v>1</v>
      </c>
      <c r="F58" s="412">
        <f>ROUNDDOWN(F23*$Q$58,-3)</f>
        <v>78000</v>
      </c>
      <c r="G58" s="412">
        <f t="shared" ref="G58:P58" si="44">ROUNDDOWN(G23*$Q$58,-3)</f>
        <v>101000</v>
      </c>
      <c r="H58" s="412">
        <f t="shared" si="44"/>
        <v>132000</v>
      </c>
      <c r="I58" s="412">
        <f t="shared" si="44"/>
        <v>171000</v>
      </c>
      <c r="J58" s="412">
        <f t="shared" si="44"/>
        <v>223000</v>
      </c>
      <c r="K58" s="387">
        <f t="shared" si="44"/>
        <v>312000</v>
      </c>
      <c r="L58" s="387">
        <f t="shared" si="44"/>
        <v>437000</v>
      </c>
      <c r="M58" s="387">
        <f t="shared" si="44"/>
        <v>612000</v>
      </c>
      <c r="N58" s="387">
        <f t="shared" si="44"/>
        <v>857000</v>
      </c>
      <c r="O58" s="387">
        <f t="shared" si="44"/>
        <v>1200000</v>
      </c>
      <c r="P58" s="387">
        <f t="shared" si="44"/>
        <v>1680000</v>
      </c>
      <c r="Q58" s="244">
        <v>0.2</v>
      </c>
    </row>
    <row r="59" spans="1:17" ht="18" customHeight="1" x14ac:dyDescent="0.25">
      <c r="A59" s="179">
        <v>7</v>
      </c>
      <c r="B59" s="180" t="s">
        <v>254</v>
      </c>
      <c r="C59" s="181"/>
      <c r="D59" s="182"/>
      <c r="E59" s="179" t="s">
        <v>255</v>
      </c>
      <c r="F59" s="412">
        <f>ROUNDDOWN(F23*$Q$59,-3)</f>
        <v>117000</v>
      </c>
      <c r="G59" s="412">
        <f t="shared" ref="G59:P59" si="45">ROUNDDOWN(G23*$Q$59,-3)</f>
        <v>152000</v>
      </c>
      <c r="H59" s="412">
        <f t="shared" si="45"/>
        <v>198000</v>
      </c>
      <c r="I59" s="412">
        <f t="shared" si="45"/>
        <v>257000</v>
      </c>
      <c r="J59" s="412">
        <f t="shared" si="45"/>
        <v>334000</v>
      </c>
      <c r="K59" s="387">
        <f t="shared" si="45"/>
        <v>468000</v>
      </c>
      <c r="L59" s="387">
        <f t="shared" si="45"/>
        <v>656000</v>
      </c>
      <c r="M59" s="387">
        <f t="shared" si="45"/>
        <v>918000</v>
      </c>
      <c r="N59" s="387">
        <f t="shared" si="45"/>
        <v>1286000</v>
      </c>
      <c r="O59" s="387">
        <f t="shared" si="45"/>
        <v>1800000</v>
      </c>
      <c r="P59" s="387">
        <f t="shared" si="45"/>
        <v>2520000</v>
      </c>
      <c r="Q59" s="244">
        <v>0.3</v>
      </c>
    </row>
    <row r="60" spans="1:17" s="144" customFormat="1" ht="18" customHeight="1" x14ac:dyDescent="0.25">
      <c r="A60" s="195"/>
      <c r="B60" s="593" t="s">
        <v>256</v>
      </c>
      <c r="C60" s="594"/>
      <c r="D60" s="595"/>
      <c r="E60" s="195"/>
      <c r="F60" s="406">
        <f t="shared" ref="F60:O60" si="46">SUM(F50:F59)</f>
        <v>1306000</v>
      </c>
      <c r="G60" s="406">
        <f t="shared" si="46"/>
        <v>1699000</v>
      </c>
      <c r="H60" s="406">
        <f t="shared" si="46"/>
        <v>2211000</v>
      </c>
      <c r="I60" s="406">
        <f t="shared" si="46"/>
        <v>2872000</v>
      </c>
      <c r="J60" s="406">
        <f t="shared" si="46"/>
        <v>3735000</v>
      </c>
      <c r="K60" s="196">
        <f t="shared" si="46"/>
        <v>5229000</v>
      </c>
      <c r="L60" s="196">
        <f t="shared" si="46"/>
        <v>7323000</v>
      </c>
      <c r="M60" s="196">
        <f t="shared" si="46"/>
        <v>10254000</v>
      </c>
      <c r="N60" s="196">
        <f t="shared" si="46"/>
        <v>14358000</v>
      </c>
      <c r="O60" s="196">
        <f t="shared" si="46"/>
        <v>20103000</v>
      </c>
      <c r="P60" s="196">
        <f>SUM(P50:P59)</f>
        <v>28145000</v>
      </c>
    </row>
    <row r="61" spans="1:17" s="144" customFormat="1" ht="18" customHeight="1" x14ac:dyDescent="0.25">
      <c r="A61" s="196"/>
      <c r="B61" s="210" t="s">
        <v>257</v>
      </c>
      <c r="C61" s="211"/>
      <c r="D61" s="212"/>
      <c r="E61" s="195"/>
      <c r="F61" s="406">
        <f>F19+F47+F60</f>
        <v>7190000</v>
      </c>
      <c r="G61" s="406">
        <f>G19+G47+G60</f>
        <v>9356000</v>
      </c>
      <c r="H61" s="406">
        <f>H19+H47+H60</f>
        <v>12171000</v>
      </c>
      <c r="I61" s="406">
        <f>I19+I47+I60</f>
        <v>15810000</v>
      </c>
      <c r="J61" s="406">
        <f t="shared" ref="J61:O61" si="47">J19+J47+J60</f>
        <v>20565000</v>
      </c>
      <c r="K61" s="196">
        <f t="shared" si="47"/>
        <v>28790000</v>
      </c>
      <c r="L61" s="196">
        <f t="shared" si="47"/>
        <v>40316000</v>
      </c>
      <c r="M61" s="196">
        <f t="shared" si="47"/>
        <v>56454000</v>
      </c>
      <c r="N61" s="196">
        <f t="shared" si="47"/>
        <v>79045000</v>
      </c>
      <c r="O61" s="196">
        <f t="shared" si="47"/>
        <v>110674000</v>
      </c>
      <c r="P61" s="196">
        <f>P19+P47+P60</f>
        <v>154952000</v>
      </c>
    </row>
    <row r="62" spans="1:17" ht="18" customHeight="1" x14ac:dyDescent="0.25">
      <c r="A62" s="213" t="s">
        <v>258</v>
      </c>
      <c r="C62" s="80"/>
      <c r="D62" s="80"/>
      <c r="E62" s="214"/>
      <c r="F62" s="439"/>
      <c r="G62" s="439"/>
      <c r="H62" s="439"/>
      <c r="I62" s="439"/>
      <c r="J62" s="439"/>
      <c r="K62" s="80"/>
      <c r="L62" s="80"/>
      <c r="M62" s="80"/>
      <c r="N62" s="80"/>
      <c r="O62" s="80"/>
      <c r="P62" s="80"/>
      <c r="Q62" s="80"/>
    </row>
    <row r="63" spans="1:17" ht="18" customHeight="1" x14ac:dyDescent="0.25">
      <c r="A63" s="80"/>
      <c r="B63" s="80" t="s">
        <v>259</v>
      </c>
      <c r="C63" s="80"/>
      <c r="D63" s="80"/>
      <c r="E63" s="214"/>
      <c r="F63" s="439"/>
      <c r="G63" s="439"/>
      <c r="H63" s="439"/>
      <c r="I63" s="439"/>
      <c r="J63" s="439"/>
      <c r="K63" s="80"/>
      <c r="L63" s="80"/>
      <c r="M63" s="80"/>
      <c r="N63" s="80"/>
      <c r="O63" s="80"/>
      <c r="P63" s="80"/>
      <c r="Q63" s="80"/>
    </row>
    <row r="64" spans="1:17" ht="18" customHeight="1" x14ac:dyDescent="0.25">
      <c r="A64" s="80"/>
      <c r="B64" s="80" t="s">
        <v>260</v>
      </c>
      <c r="C64" s="80"/>
      <c r="D64" s="80"/>
      <c r="E64" s="214"/>
      <c r="F64" s="439"/>
      <c r="G64" s="439"/>
      <c r="H64" s="439"/>
      <c r="I64" s="439"/>
      <c r="J64" s="439"/>
      <c r="K64" s="80"/>
      <c r="L64" s="80"/>
      <c r="M64" s="80"/>
      <c r="N64" s="80"/>
      <c r="O64" s="80"/>
      <c r="P64" s="80"/>
      <c r="Q64" s="80"/>
    </row>
    <row r="65" spans="1:17" ht="18" customHeight="1" x14ac:dyDescent="0.25">
      <c r="A65" s="80"/>
      <c r="B65" s="80" t="s">
        <v>261</v>
      </c>
      <c r="C65" s="80"/>
      <c r="D65" s="80"/>
      <c r="E65" s="214"/>
      <c r="F65" s="439"/>
      <c r="G65" s="439"/>
      <c r="H65" s="439"/>
      <c r="I65" s="439"/>
      <c r="J65" s="439"/>
      <c r="K65" s="80"/>
      <c r="L65" s="80"/>
      <c r="M65" s="80"/>
      <c r="N65" s="80"/>
      <c r="O65" s="80"/>
      <c r="P65" s="80"/>
      <c r="Q65" s="80"/>
    </row>
    <row r="66" spans="1:17" ht="18" customHeight="1" x14ac:dyDescent="0.25">
      <c r="A66" s="80"/>
      <c r="B66" s="80" t="s">
        <v>262</v>
      </c>
      <c r="C66" s="80"/>
      <c r="D66" s="80"/>
      <c r="E66" s="214"/>
      <c r="F66" s="439"/>
      <c r="G66" s="439"/>
      <c r="H66" s="439"/>
      <c r="I66" s="439"/>
      <c r="J66" s="439"/>
      <c r="K66" s="80"/>
      <c r="L66" s="80"/>
      <c r="M66" s="80"/>
      <c r="N66" s="80"/>
      <c r="O66" s="80"/>
      <c r="P66" s="80"/>
      <c r="Q66" s="80"/>
    </row>
    <row r="67" spans="1:17" ht="18" customHeight="1" x14ac:dyDescent="0.25">
      <c r="A67" s="80"/>
      <c r="B67" s="80" t="s">
        <v>263</v>
      </c>
      <c r="C67" s="80"/>
      <c r="D67" s="80"/>
      <c r="E67" s="214"/>
      <c r="F67" s="439"/>
      <c r="G67" s="439"/>
      <c r="H67" s="439"/>
      <c r="I67" s="439"/>
      <c r="J67" s="439"/>
      <c r="K67" s="80"/>
      <c r="L67" s="80"/>
      <c r="M67" s="80"/>
      <c r="N67" s="80"/>
      <c r="O67" s="80"/>
      <c r="P67" s="80"/>
      <c r="Q67" s="80"/>
    </row>
    <row r="68" spans="1:17" ht="18" customHeight="1" x14ac:dyDescent="0.25">
      <c r="A68" s="80"/>
      <c r="B68" s="80"/>
      <c r="C68" s="80"/>
      <c r="D68" s="80"/>
      <c r="E68" s="214"/>
      <c r="F68" s="439"/>
      <c r="G68" s="439"/>
      <c r="H68" s="439"/>
      <c r="I68" s="439"/>
      <c r="J68" s="439"/>
      <c r="K68" s="80"/>
      <c r="L68" s="80"/>
      <c r="M68" s="80"/>
      <c r="N68" s="80"/>
      <c r="O68" s="80"/>
      <c r="P68" s="80"/>
      <c r="Q68" s="80"/>
    </row>
    <row r="69" spans="1:17" ht="18" customHeight="1" x14ac:dyDescent="0.25">
      <c r="A69" s="80"/>
      <c r="B69" s="80"/>
      <c r="C69" s="80"/>
      <c r="D69" s="80"/>
      <c r="E69" s="214"/>
      <c r="F69" s="439"/>
      <c r="G69" s="439"/>
      <c r="H69" s="439"/>
      <c r="I69" s="439"/>
      <c r="J69" s="439"/>
      <c r="K69" s="80"/>
      <c r="L69" s="80"/>
      <c r="M69" s="80"/>
      <c r="N69" s="80"/>
      <c r="O69" s="80"/>
      <c r="P69" s="80"/>
      <c r="Q69" s="80"/>
    </row>
    <row r="70" spans="1:17" ht="18" customHeight="1" x14ac:dyDescent="0.25">
      <c r="A70" s="81" t="s">
        <v>264</v>
      </c>
      <c r="B70" s="80"/>
      <c r="C70" s="80"/>
      <c r="D70" s="80"/>
      <c r="E70" s="214"/>
      <c r="F70" s="439"/>
      <c r="G70" s="439"/>
      <c r="H70" s="439"/>
      <c r="I70" s="439"/>
      <c r="J70" s="439"/>
      <c r="K70" s="80"/>
      <c r="L70" s="80"/>
      <c r="M70" s="80"/>
      <c r="N70" s="80"/>
      <c r="O70" s="80"/>
      <c r="P70" s="80"/>
      <c r="Q70" s="80"/>
    </row>
    <row r="71" spans="1:17" ht="18" customHeight="1" x14ac:dyDescent="0.25">
      <c r="A71" s="80"/>
      <c r="B71" s="80"/>
      <c r="C71" s="80"/>
      <c r="D71" s="80"/>
      <c r="E71" s="214"/>
      <c r="F71" s="439"/>
      <c r="G71" s="439"/>
      <c r="H71" s="439"/>
      <c r="I71" s="439"/>
      <c r="J71" s="596" t="s">
        <v>287</v>
      </c>
      <c r="K71" s="596"/>
      <c r="L71" s="82">
        <v>234000</v>
      </c>
      <c r="M71" s="81" t="s">
        <v>135</v>
      </c>
      <c r="N71" s="80"/>
      <c r="O71" s="80"/>
      <c r="P71" s="80"/>
      <c r="Q71" s="80"/>
    </row>
    <row r="72" spans="1:17" ht="18" customHeight="1" x14ac:dyDescent="0.25">
      <c r="A72" s="597" t="s">
        <v>265</v>
      </c>
      <c r="B72" s="598"/>
      <c r="C72" s="598"/>
      <c r="D72" s="598"/>
      <c r="E72" s="599"/>
      <c r="F72" s="429" t="s">
        <v>1</v>
      </c>
      <c r="G72" s="429" t="s">
        <v>2</v>
      </c>
      <c r="H72" s="429" t="s">
        <v>3</v>
      </c>
      <c r="I72" s="429" t="s">
        <v>4</v>
      </c>
      <c r="J72" s="544" t="s">
        <v>5</v>
      </c>
      <c r="K72" s="545" t="s">
        <v>125</v>
      </c>
      <c r="L72" s="545" t="s">
        <v>126</v>
      </c>
      <c r="M72" s="545" t="s">
        <v>127</v>
      </c>
      <c r="N72" s="603" t="s">
        <v>134</v>
      </c>
    </row>
    <row r="73" spans="1:17" x14ac:dyDescent="0.25">
      <c r="A73" s="600"/>
      <c r="B73" s="601"/>
      <c r="C73" s="601"/>
      <c r="D73" s="601"/>
      <c r="E73" s="602"/>
      <c r="F73" s="549">
        <v>2.09</v>
      </c>
      <c r="G73" s="440">
        <f>F73*1.3</f>
        <v>2.7170000000000001</v>
      </c>
      <c r="H73" s="440">
        <f t="shared" ref="H73:I73" si="48">G73*1.3</f>
        <v>3.5321000000000002</v>
      </c>
      <c r="I73" s="440">
        <f t="shared" si="48"/>
        <v>4.5917300000000001</v>
      </c>
      <c r="J73" s="440">
        <f>I73*1.4</f>
        <v>6.4284219999999994</v>
      </c>
      <c r="K73" s="440">
        <f t="shared" ref="K73:M73" si="49">J73*1.4</f>
        <v>8.9997907999999978</v>
      </c>
      <c r="L73" s="440">
        <f t="shared" si="49"/>
        <v>12.599707119999996</v>
      </c>
      <c r="M73" s="440">
        <f t="shared" si="49"/>
        <v>17.639589967999992</v>
      </c>
      <c r="N73" s="604"/>
    </row>
    <row r="74" spans="1:17" ht="18" customHeight="1" x14ac:dyDescent="0.25">
      <c r="A74" s="81" t="s">
        <v>183</v>
      </c>
      <c r="B74" s="2"/>
      <c r="C74" s="2"/>
      <c r="D74" s="2"/>
      <c r="E74" s="2"/>
      <c r="F74" s="441">
        <f>149000*2</f>
        <v>298000</v>
      </c>
      <c r="G74" s="441">
        <f>149000*3</f>
        <v>447000</v>
      </c>
      <c r="H74" s="441">
        <f>149000*4</f>
        <v>596000</v>
      </c>
      <c r="I74" s="441">
        <f>149000*5</f>
        <v>745000</v>
      </c>
      <c r="J74" s="441">
        <f>149000*6</f>
        <v>894000</v>
      </c>
      <c r="K74" s="176">
        <f>149000*7</f>
        <v>1043000</v>
      </c>
      <c r="L74" s="250"/>
      <c r="M74" s="250"/>
      <c r="N74" s="374"/>
    </row>
    <row r="75" spans="1:17" ht="18" customHeight="1" x14ac:dyDescent="0.25">
      <c r="A75" s="84" t="s">
        <v>28</v>
      </c>
      <c r="B75" s="215" t="s">
        <v>266</v>
      </c>
      <c r="C75" s="216"/>
      <c r="D75" s="217"/>
      <c r="E75" s="177" t="s">
        <v>185</v>
      </c>
      <c r="F75" s="433"/>
      <c r="G75" s="433"/>
      <c r="H75" s="433"/>
      <c r="I75" s="429"/>
      <c r="J75" s="429"/>
      <c r="K75" s="250"/>
      <c r="L75" s="250"/>
      <c r="M75" s="250"/>
    </row>
    <row r="76" spans="1:17" ht="18" customHeight="1" x14ac:dyDescent="0.25">
      <c r="A76" s="218">
        <v>1</v>
      </c>
      <c r="B76" s="219" t="s">
        <v>186</v>
      </c>
      <c r="C76" s="220"/>
      <c r="D76" s="221"/>
      <c r="E76" s="179">
        <v>1</v>
      </c>
      <c r="F76" s="412">
        <f t="shared" ref="F76:M76" si="50">ROUNDDOWN(F86*$N$76,-3)</f>
        <v>254000</v>
      </c>
      <c r="G76" s="412">
        <f t="shared" si="50"/>
        <v>330000</v>
      </c>
      <c r="H76" s="412">
        <f t="shared" si="50"/>
        <v>429000</v>
      </c>
      <c r="I76" s="412">
        <f t="shared" si="50"/>
        <v>558000</v>
      </c>
      <c r="J76" s="412">
        <f t="shared" si="50"/>
        <v>782000</v>
      </c>
      <c r="K76" s="387">
        <f t="shared" si="50"/>
        <v>1094000</v>
      </c>
      <c r="L76" s="402">
        <f t="shared" si="50"/>
        <v>1532000</v>
      </c>
      <c r="M76" s="402">
        <f t="shared" si="50"/>
        <v>2146000</v>
      </c>
      <c r="N76" s="550">
        <f>80%-(80%*35%)</f>
        <v>0.52</v>
      </c>
    </row>
    <row r="77" spans="1:17" ht="18" customHeight="1" x14ac:dyDescent="0.25">
      <c r="A77" s="218">
        <v>2</v>
      </c>
      <c r="B77" s="219" t="s">
        <v>187</v>
      </c>
      <c r="C77" s="220"/>
      <c r="D77" s="221"/>
      <c r="E77" s="179">
        <v>1</v>
      </c>
      <c r="F77" s="412">
        <f t="shared" ref="F77:M77" si="51">ROUNDDOWN(F86*$N$77,-3)</f>
        <v>222000</v>
      </c>
      <c r="G77" s="412">
        <f t="shared" si="51"/>
        <v>288000</v>
      </c>
      <c r="H77" s="412">
        <f t="shared" si="51"/>
        <v>375000</v>
      </c>
      <c r="I77" s="412">
        <f t="shared" si="51"/>
        <v>488000</v>
      </c>
      <c r="J77" s="412">
        <f t="shared" si="51"/>
        <v>684000</v>
      </c>
      <c r="K77" s="387">
        <f t="shared" si="51"/>
        <v>957000</v>
      </c>
      <c r="L77" s="402">
        <f t="shared" si="51"/>
        <v>1341000</v>
      </c>
      <c r="M77" s="402">
        <f t="shared" si="51"/>
        <v>1877000</v>
      </c>
      <c r="N77" s="550">
        <f>70%-(70%*35%)</f>
        <v>0.45499999999999996</v>
      </c>
    </row>
    <row r="78" spans="1:17" ht="18" customHeight="1" x14ac:dyDescent="0.25">
      <c r="A78" s="218">
        <v>3</v>
      </c>
      <c r="B78" s="219" t="s">
        <v>188</v>
      </c>
      <c r="C78" s="220"/>
      <c r="D78" s="221"/>
      <c r="E78" s="179">
        <v>1</v>
      </c>
      <c r="F78" s="412">
        <f t="shared" ref="F78:M78" si="52">ROUNDDOWN(F86*$N$78,-3)</f>
        <v>222000</v>
      </c>
      <c r="G78" s="412">
        <f t="shared" si="52"/>
        <v>288000</v>
      </c>
      <c r="H78" s="412">
        <f t="shared" si="52"/>
        <v>375000</v>
      </c>
      <c r="I78" s="412">
        <f t="shared" si="52"/>
        <v>488000</v>
      </c>
      <c r="J78" s="412">
        <f t="shared" si="52"/>
        <v>684000</v>
      </c>
      <c r="K78" s="387">
        <f t="shared" si="52"/>
        <v>957000</v>
      </c>
      <c r="L78" s="402">
        <f t="shared" si="52"/>
        <v>1341000</v>
      </c>
      <c r="M78" s="402">
        <f t="shared" si="52"/>
        <v>1877000</v>
      </c>
      <c r="N78" s="550">
        <f>70%-(70%*35%)</f>
        <v>0.45499999999999996</v>
      </c>
    </row>
    <row r="79" spans="1:17" s="125" customFormat="1" ht="31.5" customHeight="1" x14ac:dyDescent="0.25">
      <c r="A79" s="222">
        <v>4</v>
      </c>
      <c r="B79" s="223" t="s">
        <v>192</v>
      </c>
      <c r="C79" s="224"/>
      <c r="D79" s="225"/>
      <c r="E79" s="184"/>
      <c r="F79" s="434"/>
      <c r="G79" s="434"/>
      <c r="H79" s="434"/>
      <c r="I79" s="434"/>
      <c r="J79" s="434"/>
      <c r="K79" s="251"/>
      <c r="L79" s="251"/>
      <c r="M79" s="251"/>
      <c r="N79" s="423" t="s">
        <v>193</v>
      </c>
    </row>
    <row r="80" spans="1:17" ht="18" customHeight="1" x14ac:dyDescent="0.25">
      <c r="A80" s="218">
        <v>5</v>
      </c>
      <c r="B80" s="219" t="s">
        <v>267</v>
      </c>
      <c r="C80" s="220"/>
      <c r="D80" s="221"/>
      <c r="E80" s="179" t="s">
        <v>195</v>
      </c>
      <c r="F80" s="412">
        <f t="shared" ref="F80:M80" si="53">ROUNDDOWN(F86*$N$80,-3)</f>
        <v>220000</v>
      </c>
      <c r="G80" s="412">
        <f t="shared" si="53"/>
        <v>285000</v>
      </c>
      <c r="H80" s="412">
        <f t="shared" si="53"/>
        <v>371000</v>
      </c>
      <c r="I80" s="412">
        <f t="shared" si="53"/>
        <v>483000</v>
      </c>
      <c r="J80" s="412">
        <f t="shared" si="53"/>
        <v>676000</v>
      </c>
      <c r="K80" s="387">
        <f t="shared" si="53"/>
        <v>947000</v>
      </c>
      <c r="L80" s="402">
        <f t="shared" si="53"/>
        <v>1326000</v>
      </c>
      <c r="M80" s="402">
        <f t="shared" si="53"/>
        <v>1857000</v>
      </c>
      <c r="N80" s="424" t="s">
        <v>286</v>
      </c>
    </row>
    <row r="81" spans="1:14" ht="18" customHeight="1" x14ac:dyDescent="0.25">
      <c r="A81" s="179">
        <v>6</v>
      </c>
      <c r="B81" s="180" t="s">
        <v>197</v>
      </c>
      <c r="C81" s="181"/>
      <c r="D81" s="182"/>
      <c r="E81" s="179" t="s">
        <v>195</v>
      </c>
      <c r="F81" s="412">
        <f t="shared" ref="F81:M81" si="54">ROUNDDOWN(F86*$N$81,-3)</f>
        <v>97000</v>
      </c>
      <c r="G81" s="412">
        <f t="shared" si="54"/>
        <v>127000</v>
      </c>
      <c r="H81" s="412">
        <f t="shared" si="54"/>
        <v>165000</v>
      </c>
      <c r="I81" s="412">
        <f t="shared" si="54"/>
        <v>214000</v>
      </c>
      <c r="J81" s="412">
        <f t="shared" si="54"/>
        <v>300000</v>
      </c>
      <c r="K81" s="387">
        <f t="shared" si="54"/>
        <v>421000</v>
      </c>
      <c r="L81" s="402">
        <f t="shared" si="54"/>
        <v>589000</v>
      </c>
      <c r="M81" s="402">
        <f t="shared" si="54"/>
        <v>825000</v>
      </c>
      <c r="N81" s="424" t="s">
        <v>114</v>
      </c>
    </row>
    <row r="82" spans="1:14" s="144" customFormat="1" ht="18" customHeight="1" x14ac:dyDescent="0.25">
      <c r="A82" s="191"/>
      <c r="B82" s="227" t="s">
        <v>198</v>
      </c>
      <c r="C82" s="228"/>
      <c r="D82" s="229"/>
      <c r="E82" s="195"/>
      <c r="F82" s="406">
        <f>SUM(F76:F81)</f>
        <v>1015000</v>
      </c>
      <c r="G82" s="406">
        <f t="shared" ref="G82:M82" si="55">SUM(G76:G81)</f>
        <v>1318000</v>
      </c>
      <c r="H82" s="406">
        <f t="shared" si="55"/>
        <v>1715000</v>
      </c>
      <c r="I82" s="406">
        <f t="shared" si="55"/>
        <v>2231000</v>
      </c>
      <c r="J82" s="406">
        <f t="shared" si="55"/>
        <v>3126000</v>
      </c>
      <c r="K82" s="406">
        <f t="shared" si="55"/>
        <v>4376000</v>
      </c>
      <c r="L82" s="407">
        <f t="shared" si="55"/>
        <v>6129000</v>
      </c>
      <c r="M82" s="407">
        <f t="shared" si="55"/>
        <v>8582000</v>
      </c>
      <c r="N82" s="196"/>
    </row>
    <row r="83" spans="1:14" ht="18" customHeight="1" x14ac:dyDescent="0.25">
      <c r="A83" s="230" t="s">
        <v>199</v>
      </c>
      <c r="B83" s="230"/>
      <c r="C83" s="230"/>
      <c r="D83" s="231"/>
      <c r="E83" s="232"/>
      <c r="F83" s="408"/>
      <c r="G83" s="408"/>
      <c r="H83" s="408"/>
      <c r="I83" s="408"/>
      <c r="J83" s="408"/>
      <c r="K83" s="408"/>
      <c r="L83" s="408"/>
      <c r="M83" s="408"/>
      <c r="N83" s="175"/>
    </row>
    <row r="84" spans="1:14" ht="18" customHeight="1" x14ac:dyDescent="0.25">
      <c r="A84" s="233" t="s">
        <v>28</v>
      </c>
      <c r="B84" s="234" t="s">
        <v>268</v>
      </c>
      <c r="C84" s="235"/>
      <c r="D84" s="236"/>
      <c r="E84" s="84"/>
      <c r="F84" s="409"/>
      <c r="G84" s="409"/>
      <c r="H84" s="409"/>
      <c r="I84" s="410"/>
      <c r="J84" s="410"/>
      <c r="K84" s="411"/>
      <c r="L84" s="411"/>
      <c r="M84" s="411"/>
      <c r="N84" s="175"/>
    </row>
    <row r="85" spans="1:14" ht="18" customHeight="1" x14ac:dyDescent="0.25">
      <c r="A85" s="218">
        <v>1</v>
      </c>
      <c r="B85" s="219" t="s">
        <v>200</v>
      </c>
      <c r="C85" s="220"/>
      <c r="D85" s="221"/>
      <c r="E85" s="179">
        <v>1</v>
      </c>
      <c r="F85" s="412">
        <f t="shared" ref="F85:M85" si="56">ROUNDDOWN(F86*$N$85,-3)</f>
        <v>97000</v>
      </c>
      <c r="G85" s="412">
        <f t="shared" si="56"/>
        <v>127000</v>
      </c>
      <c r="H85" s="412">
        <f t="shared" si="56"/>
        <v>165000</v>
      </c>
      <c r="I85" s="412">
        <f t="shared" si="56"/>
        <v>214000</v>
      </c>
      <c r="J85" s="412">
        <f t="shared" si="56"/>
        <v>300000</v>
      </c>
      <c r="K85" s="412">
        <f t="shared" si="56"/>
        <v>421000</v>
      </c>
      <c r="L85" s="413">
        <f t="shared" si="56"/>
        <v>589000</v>
      </c>
      <c r="M85" s="413">
        <f t="shared" si="56"/>
        <v>825000</v>
      </c>
      <c r="N85" s="246">
        <v>0.2</v>
      </c>
    </row>
    <row r="86" spans="1:14" ht="18" customHeight="1" x14ac:dyDescent="0.25">
      <c r="A86" s="218">
        <v>2</v>
      </c>
      <c r="B86" s="219" t="s">
        <v>201</v>
      </c>
      <c r="C86" s="220"/>
      <c r="D86" s="221"/>
      <c r="E86" s="179" t="s">
        <v>195</v>
      </c>
      <c r="F86" s="414">
        <f>ROUNDDOWN(F73*$L$71,-3)</f>
        <v>489000</v>
      </c>
      <c r="G86" s="414">
        <f t="shared" ref="G86:M86" si="57">ROUNDDOWN(G73*$L$71,-3)</f>
        <v>635000</v>
      </c>
      <c r="H86" s="414">
        <f t="shared" si="57"/>
        <v>826000</v>
      </c>
      <c r="I86" s="414">
        <f t="shared" si="57"/>
        <v>1074000</v>
      </c>
      <c r="J86" s="414">
        <f t="shared" si="57"/>
        <v>1504000</v>
      </c>
      <c r="K86" s="415">
        <f t="shared" si="57"/>
        <v>2105000</v>
      </c>
      <c r="L86" s="415">
        <f t="shared" si="57"/>
        <v>2948000</v>
      </c>
      <c r="M86" s="415">
        <f t="shared" si="57"/>
        <v>4127000</v>
      </c>
      <c r="N86" s="247">
        <v>1</v>
      </c>
    </row>
    <row r="87" spans="1:14" ht="18" customHeight="1" x14ac:dyDescent="0.25">
      <c r="A87" s="218">
        <v>3</v>
      </c>
      <c r="B87" s="223" t="s">
        <v>269</v>
      </c>
      <c r="C87" s="224"/>
      <c r="D87" s="225"/>
      <c r="E87" s="184">
        <v>1</v>
      </c>
      <c r="F87" s="412">
        <f t="shared" ref="F87:M87" si="58">ROUNDDOWN(F86*$N$87,-3)</f>
        <v>293000</v>
      </c>
      <c r="G87" s="412">
        <f t="shared" si="58"/>
        <v>381000</v>
      </c>
      <c r="H87" s="412">
        <f t="shared" si="58"/>
        <v>495000</v>
      </c>
      <c r="I87" s="412">
        <f t="shared" si="58"/>
        <v>644000</v>
      </c>
      <c r="J87" s="412">
        <f t="shared" si="58"/>
        <v>902000</v>
      </c>
      <c r="K87" s="412">
        <f t="shared" si="58"/>
        <v>1263000</v>
      </c>
      <c r="L87" s="413">
        <f t="shared" si="58"/>
        <v>1768000</v>
      </c>
      <c r="M87" s="413">
        <f t="shared" si="58"/>
        <v>2476000</v>
      </c>
      <c r="N87" s="245">
        <v>0.6</v>
      </c>
    </row>
    <row r="88" spans="1:14" ht="18" customHeight="1" x14ac:dyDescent="0.25">
      <c r="A88" s="218">
        <v>4</v>
      </c>
      <c r="B88" s="219" t="s">
        <v>204</v>
      </c>
      <c r="C88" s="220"/>
      <c r="D88" s="80"/>
      <c r="E88" s="179">
        <v>1</v>
      </c>
      <c r="F88" s="412">
        <f t="shared" ref="F88:M88" si="59">ROUNDDOWN(F86*$N$88,-3)</f>
        <v>244000</v>
      </c>
      <c r="G88" s="412">
        <f t="shared" si="59"/>
        <v>317000</v>
      </c>
      <c r="H88" s="412">
        <f t="shared" si="59"/>
        <v>413000</v>
      </c>
      <c r="I88" s="412">
        <f t="shared" si="59"/>
        <v>537000</v>
      </c>
      <c r="J88" s="412">
        <f t="shared" si="59"/>
        <v>752000</v>
      </c>
      <c r="K88" s="412">
        <f t="shared" si="59"/>
        <v>1052000</v>
      </c>
      <c r="L88" s="413">
        <f t="shared" si="59"/>
        <v>1474000</v>
      </c>
      <c r="M88" s="413">
        <f t="shared" si="59"/>
        <v>2063000</v>
      </c>
      <c r="N88" s="226">
        <v>0.5</v>
      </c>
    </row>
    <row r="89" spans="1:14" ht="18" customHeight="1" x14ac:dyDescent="0.25">
      <c r="A89" s="218">
        <v>5</v>
      </c>
      <c r="B89" s="219" t="s">
        <v>206</v>
      </c>
      <c r="C89" s="220"/>
      <c r="D89" s="221"/>
      <c r="E89" s="179"/>
      <c r="F89" s="416"/>
      <c r="G89" s="412"/>
      <c r="H89" s="416"/>
      <c r="I89" s="417"/>
      <c r="J89" s="417"/>
      <c r="K89" s="418"/>
      <c r="L89" s="418"/>
      <c r="M89" s="418"/>
      <c r="N89" s="183"/>
    </row>
    <row r="90" spans="1:14" ht="18" customHeight="1" x14ac:dyDescent="0.25">
      <c r="A90" s="218" t="s">
        <v>271</v>
      </c>
      <c r="B90" s="219" t="s">
        <v>208</v>
      </c>
      <c r="C90" s="220"/>
      <c r="D90" s="221"/>
      <c r="E90" s="179">
        <v>1</v>
      </c>
      <c r="F90" s="412">
        <f t="shared" ref="F90:M90" si="60">ROUNDDOWN(F86*$N$90,-3)</f>
        <v>195000</v>
      </c>
      <c r="G90" s="412">
        <f t="shared" si="60"/>
        <v>254000</v>
      </c>
      <c r="H90" s="412">
        <f t="shared" si="60"/>
        <v>330000</v>
      </c>
      <c r="I90" s="412">
        <f t="shared" si="60"/>
        <v>429000</v>
      </c>
      <c r="J90" s="412">
        <f t="shared" si="60"/>
        <v>601000</v>
      </c>
      <c r="K90" s="412">
        <f t="shared" si="60"/>
        <v>842000</v>
      </c>
      <c r="L90" s="413">
        <f t="shared" si="60"/>
        <v>1179000</v>
      </c>
      <c r="M90" s="413">
        <f t="shared" si="60"/>
        <v>1650000</v>
      </c>
      <c r="N90" s="226">
        <v>0.4</v>
      </c>
    </row>
    <row r="91" spans="1:14" ht="18" customHeight="1" x14ac:dyDescent="0.25">
      <c r="A91" s="218" t="s">
        <v>272</v>
      </c>
      <c r="B91" s="219" t="s">
        <v>206</v>
      </c>
      <c r="C91" s="220"/>
      <c r="D91" s="221"/>
      <c r="E91" s="179">
        <v>1</v>
      </c>
      <c r="F91" s="412">
        <f t="shared" ref="F91:M91" si="61">ROUNDDOWN(F86*$N$91,-3)</f>
        <v>146000</v>
      </c>
      <c r="G91" s="412">
        <f t="shared" si="61"/>
        <v>190000</v>
      </c>
      <c r="H91" s="412">
        <f t="shared" si="61"/>
        <v>247000</v>
      </c>
      <c r="I91" s="412">
        <f t="shared" si="61"/>
        <v>322000</v>
      </c>
      <c r="J91" s="412">
        <f t="shared" si="61"/>
        <v>451000</v>
      </c>
      <c r="K91" s="412">
        <f t="shared" si="61"/>
        <v>631000</v>
      </c>
      <c r="L91" s="413">
        <f t="shared" si="61"/>
        <v>884000</v>
      </c>
      <c r="M91" s="413">
        <f t="shared" si="61"/>
        <v>1238000</v>
      </c>
      <c r="N91" s="226">
        <v>0.3</v>
      </c>
    </row>
    <row r="92" spans="1:14" ht="18" customHeight="1" x14ac:dyDescent="0.25">
      <c r="A92" s="218">
        <v>6</v>
      </c>
      <c r="B92" s="219" t="s">
        <v>214</v>
      </c>
      <c r="C92" s="220"/>
      <c r="D92" s="221"/>
      <c r="E92" s="179"/>
      <c r="F92" s="416"/>
      <c r="G92" s="416"/>
      <c r="H92" s="416"/>
      <c r="I92" s="417"/>
      <c r="J92" s="417"/>
      <c r="K92" s="419"/>
      <c r="L92" s="419"/>
      <c r="M92" s="419"/>
      <c r="N92" s="190"/>
    </row>
    <row r="93" spans="1:14" ht="18" customHeight="1" x14ac:dyDescent="0.25">
      <c r="A93" s="218" t="s">
        <v>248</v>
      </c>
      <c r="B93" s="219" t="s">
        <v>273</v>
      </c>
      <c r="C93" s="220"/>
      <c r="D93" s="221"/>
      <c r="E93" s="179">
        <v>1</v>
      </c>
      <c r="F93" s="412">
        <f t="shared" ref="F93:M93" si="62">ROUNDDOWN(F86*$N$93,-3)</f>
        <v>195000</v>
      </c>
      <c r="G93" s="412">
        <f t="shared" si="62"/>
        <v>254000</v>
      </c>
      <c r="H93" s="412">
        <f t="shared" si="62"/>
        <v>330000</v>
      </c>
      <c r="I93" s="412">
        <f t="shared" si="62"/>
        <v>429000</v>
      </c>
      <c r="J93" s="412">
        <f t="shared" si="62"/>
        <v>601000</v>
      </c>
      <c r="K93" s="412">
        <f t="shared" si="62"/>
        <v>842000</v>
      </c>
      <c r="L93" s="413">
        <f t="shared" si="62"/>
        <v>1179000</v>
      </c>
      <c r="M93" s="413">
        <f t="shared" si="62"/>
        <v>1650000</v>
      </c>
      <c r="N93" s="226">
        <v>0.4</v>
      </c>
    </row>
    <row r="94" spans="1:14" ht="18" customHeight="1" x14ac:dyDescent="0.25">
      <c r="A94" s="237" t="s">
        <v>250</v>
      </c>
      <c r="B94" s="219" t="s">
        <v>274</v>
      </c>
      <c r="C94" s="220"/>
      <c r="D94" s="221"/>
      <c r="E94" s="179">
        <v>1</v>
      </c>
      <c r="F94" s="412">
        <f t="shared" ref="F94:M94" si="63">ROUNDDOWN(F86*$N$94,-3)</f>
        <v>146000</v>
      </c>
      <c r="G94" s="412">
        <f t="shared" si="63"/>
        <v>190000</v>
      </c>
      <c r="H94" s="412">
        <f t="shared" si="63"/>
        <v>247000</v>
      </c>
      <c r="I94" s="412">
        <f t="shared" si="63"/>
        <v>322000</v>
      </c>
      <c r="J94" s="412">
        <f t="shared" si="63"/>
        <v>451000</v>
      </c>
      <c r="K94" s="412">
        <f t="shared" si="63"/>
        <v>631000</v>
      </c>
      <c r="L94" s="413">
        <f t="shared" si="63"/>
        <v>884000</v>
      </c>
      <c r="M94" s="413">
        <f t="shared" si="63"/>
        <v>1238000</v>
      </c>
      <c r="N94" s="226">
        <v>0.3</v>
      </c>
    </row>
    <row r="95" spans="1:14" ht="18" customHeight="1" x14ac:dyDescent="0.25">
      <c r="A95" s="218" t="s">
        <v>252</v>
      </c>
      <c r="B95" s="202" t="s">
        <v>222</v>
      </c>
      <c r="C95" s="203"/>
      <c r="D95" s="204"/>
      <c r="E95" s="179">
        <v>1</v>
      </c>
      <c r="F95" s="412">
        <f t="shared" ref="F95:M95" si="64">ROUNDDOWN(F86*$N$95,-3)</f>
        <v>244000</v>
      </c>
      <c r="G95" s="412">
        <f t="shared" si="64"/>
        <v>317000</v>
      </c>
      <c r="H95" s="412">
        <f t="shared" si="64"/>
        <v>413000</v>
      </c>
      <c r="I95" s="412">
        <f t="shared" si="64"/>
        <v>537000</v>
      </c>
      <c r="J95" s="412">
        <f t="shared" si="64"/>
        <v>752000</v>
      </c>
      <c r="K95" s="412">
        <f t="shared" si="64"/>
        <v>1052000</v>
      </c>
      <c r="L95" s="413">
        <f t="shared" si="64"/>
        <v>1474000</v>
      </c>
      <c r="M95" s="413">
        <f t="shared" si="64"/>
        <v>2063000</v>
      </c>
      <c r="N95" s="226">
        <v>0.5</v>
      </c>
    </row>
    <row r="96" spans="1:14" ht="18" customHeight="1" x14ac:dyDescent="0.25">
      <c r="A96" s="237" t="s">
        <v>275</v>
      </c>
      <c r="B96" s="202" t="s">
        <v>224</v>
      </c>
      <c r="C96" s="203"/>
      <c r="D96" s="204"/>
      <c r="E96" s="179">
        <v>1</v>
      </c>
      <c r="F96" s="412">
        <f t="shared" ref="F96:M96" si="65">ROUNDDOWN(F86*$N$96,-3)</f>
        <v>122000</v>
      </c>
      <c r="G96" s="412">
        <f t="shared" si="65"/>
        <v>158000</v>
      </c>
      <c r="H96" s="412">
        <f t="shared" si="65"/>
        <v>206000</v>
      </c>
      <c r="I96" s="412">
        <f t="shared" si="65"/>
        <v>268000</v>
      </c>
      <c r="J96" s="412">
        <f t="shared" si="65"/>
        <v>376000</v>
      </c>
      <c r="K96" s="412">
        <f t="shared" si="65"/>
        <v>526000</v>
      </c>
      <c r="L96" s="413">
        <f t="shared" si="65"/>
        <v>737000</v>
      </c>
      <c r="M96" s="413">
        <f t="shared" si="65"/>
        <v>1031000</v>
      </c>
      <c r="N96" s="226">
        <v>0.25</v>
      </c>
    </row>
    <row r="97" spans="1:14" ht="18" customHeight="1" x14ac:dyDescent="0.25">
      <c r="A97" s="218" t="s">
        <v>276</v>
      </c>
      <c r="B97" s="202" t="s">
        <v>277</v>
      </c>
      <c r="C97" s="203"/>
      <c r="D97" s="204"/>
      <c r="E97" s="179">
        <v>1</v>
      </c>
      <c r="F97" s="412">
        <f t="shared" ref="F97:M97" si="66">ROUNDDOWN(F86*$N$97,-3)</f>
        <v>122000</v>
      </c>
      <c r="G97" s="412">
        <f t="shared" si="66"/>
        <v>158000</v>
      </c>
      <c r="H97" s="412">
        <f t="shared" si="66"/>
        <v>206000</v>
      </c>
      <c r="I97" s="412">
        <f t="shared" si="66"/>
        <v>268000</v>
      </c>
      <c r="J97" s="412">
        <f t="shared" si="66"/>
        <v>376000</v>
      </c>
      <c r="K97" s="412">
        <f t="shared" si="66"/>
        <v>526000</v>
      </c>
      <c r="L97" s="413">
        <f t="shared" si="66"/>
        <v>737000</v>
      </c>
      <c r="M97" s="413">
        <f t="shared" si="66"/>
        <v>1031000</v>
      </c>
      <c r="N97" s="226">
        <v>0.25</v>
      </c>
    </row>
    <row r="98" spans="1:14" ht="18" customHeight="1" x14ac:dyDescent="0.25">
      <c r="A98" s="237" t="s">
        <v>278</v>
      </c>
      <c r="B98" s="219" t="s">
        <v>279</v>
      </c>
      <c r="C98" s="220"/>
      <c r="D98" s="221"/>
      <c r="E98" s="179">
        <v>1</v>
      </c>
      <c r="F98" s="412">
        <f t="shared" ref="F98:M98" si="67">ROUNDDOWN(F86*$N$98,-3)</f>
        <v>146000</v>
      </c>
      <c r="G98" s="412">
        <f t="shared" si="67"/>
        <v>190000</v>
      </c>
      <c r="H98" s="412">
        <f t="shared" si="67"/>
        <v>247000</v>
      </c>
      <c r="I98" s="412">
        <f t="shared" si="67"/>
        <v>322000</v>
      </c>
      <c r="J98" s="412">
        <f t="shared" si="67"/>
        <v>451000</v>
      </c>
      <c r="K98" s="412">
        <f t="shared" si="67"/>
        <v>631000</v>
      </c>
      <c r="L98" s="413">
        <f t="shared" si="67"/>
        <v>884000</v>
      </c>
      <c r="M98" s="413">
        <f t="shared" si="67"/>
        <v>1238000</v>
      </c>
      <c r="N98" s="226">
        <v>0.3</v>
      </c>
    </row>
    <row r="99" spans="1:14" ht="18" customHeight="1" x14ac:dyDescent="0.25">
      <c r="A99" s="218" t="s">
        <v>280</v>
      </c>
      <c r="B99" s="238" t="s">
        <v>236</v>
      </c>
      <c r="C99" s="220"/>
      <c r="D99" s="221"/>
      <c r="E99" s="179" t="s">
        <v>195</v>
      </c>
      <c r="F99" s="412">
        <f t="shared" ref="F99:M99" si="68">ROUNDDOWN(F86*$N$99,-3)</f>
        <v>39000</v>
      </c>
      <c r="G99" s="412">
        <f t="shared" si="68"/>
        <v>50000</v>
      </c>
      <c r="H99" s="412">
        <f t="shared" si="68"/>
        <v>66000</v>
      </c>
      <c r="I99" s="412">
        <f t="shared" si="68"/>
        <v>85000</v>
      </c>
      <c r="J99" s="412">
        <f t="shared" si="68"/>
        <v>120000</v>
      </c>
      <c r="K99" s="412">
        <f t="shared" si="68"/>
        <v>168000</v>
      </c>
      <c r="L99" s="413">
        <f t="shared" si="68"/>
        <v>235000</v>
      </c>
      <c r="M99" s="413">
        <f t="shared" si="68"/>
        <v>330000</v>
      </c>
      <c r="N99" s="226">
        <v>0.08</v>
      </c>
    </row>
    <row r="100" spans="1:14" ht="18" customHeight="1" x14ac:dyDescent="0.25">
      <c r="A100" s="237" t="s">
        <v>281</v>
      </c>
      <c r="B100" s="238" t="s">
        <v>238</v>
      </c>
      <c r="C100" s="220"/>
      <c r="D100" s="221"/>
      <c r="E100" s="179" t="s">
        <v>195</v>
      </c>
      <c r="F100" s="412">
        <f t="shared" ref="F100:M100" si="69">ROUNDDOWN(F86*$N$100,-3)</f>
        <v>39000</v>
      </c>
      <c r="G100" s="412">
        <f t="shared" si="69"/>
        <v>50000</v>
      </c>
      <c r="H100" s="412">
        <f t="shared" si="69"/>
        <v>66000</v>
      </c>
      <c r="I100" s="412">
        <f t="shared" si="69"/>
        <v>85000</v>
      </c>
      <c r="J100" s="412">
        <f t="shared" si="69"/>
        <v>120000</v>
      </c>
      <c r="K100" s="412">
        <f t="shared" si="69"/>
        <v>168000</v>
      </c>
      <c r="L100" s="413">
        <f t="shared" si="69"/>
        <v>235000</v>
      </c>
      <c r="M100" s="413">
        <f t="shared" si="69"/>
        <v>330000</v>
      </c>
      <c r="N100" s="226">
        <v>0.08</v>
      </c>
    </row>
    <row r="101" spans="1:14" s="144" customFormat="1" ht="18" customHeight="1" x14ac:dyDescent="0.25">
      <c r="A101" s="239"/>
      <c r="B101" s="227" t="s">
        <v>239</v>
      </c>
      <c r="C101" s="228"/>
      <c r="D101" s="194"/>
      <c r="E101" s="195"/>
      <c r="F101" s="420">
        <f>SUM(F85:F100)</f>
        <v>2517000</v>
      </c>
      <c r="G101" s="420">
        <f t="shared" ref="G101:M101" si="70">SUM(G85:G100)</f>
        <v>3271000</v>
      </c>
      <c r="H101" s="420">
        <f t="shared" si="70"/>
        <v>4257000</v>
      </c>
      <c r="I101" s="420">
        <f t="shared" si="70"/>
        <v>5536000</v>
      </c>
      <c r="J101" s="420">
        <f t="shared" si="70"/>
        <v>7757000</v>
      </c>
      <c r="K101" s="420">
        <f t="shared" si="70"/>
        <v>10858000</v>
      </c>
      <c r="L101" s="421">
        <f t="shared" si="70"/>
        <v>15207000</v>
      </c>
      <c r="M101" s="421">
        <f t="shared" si="70"/>
        <v>21290000</v>
      </c>
      <c r="N101" s="191"/>
    </row>
    <row r="102" spans="1:14" ht="18" customHeight="1" x14ac:dyDescent="0.25">
      <c r="A102" s="230" t="s">
        <v>240</v>
      </c>
      <c r="B102" s="230"/>
      <c r="C102" s="230"/>
      <c r="D102" s="231"/>
      <c r="E102" s="83"/>
      <c r="F102" s="408"/>
      <c r="G102" s="408"/>
      <c r="H102" s="408"/>
      <c r="I102" s="422"/>
      <c r="J102" s="422"/>
      <c r="K102" s="422"/>
      <c r="L102" s="422"/>
      <c r="M102" s="422"/>
      <c r="N102" s="175"/>
    </row>
    <row r="103" spans="1:14" ht="18" customHeight="1" x14ac:dyDescent="0.25">
      <c r="A103" s="233" t="s">
        <v>28</v>
      </c>
      <c r="B103" s="240" t="s">
        <v>184</v>
      </c>
      <c r="C103" s="241"/>
      <c r="D103" s="236"/>
      <c r="E103" s="84"/>
      <c r="F103" s="409"/>
      <c r="G103" s="409"/>
      <c r="H103" s="409"/>
      <c r="I103" s="410"/>
      <c r="J103" s="410"/>
      <c r="K103" s="411"/>
      <c r="L103" s="411"/>
      <c r="M103" s="411"/>
      <c r="N103" s="175"/>
    </row>
    <row r="104" spans="1:14" ht="18" customHeight="1" x14ac:dyDescent="0.25">
      <c r="A104" s="218">
        <v>1</v>
      </c>
      <c r="B104" s="219" t="s">
        <v>241</v>
      </c>
      <c r="C104" s="220"/>
      <c r="D104" s="221"/>
      <c r="E104" s="179" t="s">
        <v>195</v>
      </c>
      <c r="F104" s="412">
        <f t="shared" ref="F104:M104" si="71">ROUNDDOWN(F86*$N$104,-3)</f>
        <v>195000</v>
      </c>
      <c r="G104" s="412">
        <f t="shared" si="71"/>
        <v>254000</v>
      </c>
      <c r="H104" s="412">
        <f t="shared" si="71"/>
        <v>330000</v>
      </c>
      <c r="I104" s="412">
        <f t="shared" si="71"/>
        <v>429000</v>
      </c>
      <c r="J104" s="412">
        <f t="shared" si="71"/>
        <v>601000</v>
      </c>
      <c r="K104" s="412">
        <f t="shared" si="71"/>
        <v>842000</v>
      </c>
      <c r="L104" s="413">
        <f t="shared" si="71"/>
        <v>1179000</v>
      </c>
      <c r="M104" s="413">
        <f t="shared" si="71"/>
        <v>1650000</v>
      </c>
      <c r="N104" s="226">
        <v>0.4</v>
      </c>
    </row>
    <row r="105" spans="1:14" ht="18" customHeight="1" x14ac:dyDescent="0.25">
      <c r="A105" s="179">
        <v>2</v>
      </c>
      <c r="B105" s="205" t="s">
        <v>242</v>
      </c>
      <c r="C105" s="181"/>
      <c r="D105" s="182"/>
      <c r="E105" s="179" t="s">
        <v>195</v>
      </c>
      <c r="F105" s="412">
        <f t="shared" ref="F105:M105" si="72">ROUNDDOWN(F86*$N$105,-3)</f>
        <v>122000</v>
      </c>
      <c r="G105" s="412">
        <f t="shared" si="72"/>
        <v>158000</v>
      </c>
      <c r="H105" s="412">
        <f t="shared" si="72"/>
        <v>206000</v>
      </c>
      <c r="I105" s="412">
        <f t="shared" si="72"/>
        <v>268000</v>
      </c>
      <c r="J105" s="412">
        <f t="shared" si="72"/>
        <v>376000</v>
      </c>
      <c r="K105" s="412">
        <f t="shared" si="72"/>
        <v>526000</v>
      </c>
      <c r="L105" s="413">
        <f t="shared" si="72"/>
        <v>737000</v>
      </c>
      <c r="M105" s="413">
        <f t="shared" si="72"/>
        <v>1031000</v>
      </c>
      <c r="N105" s="226">
        <v>0.25</v>
      </c>
    </row>
    <row r="106" spans="1:14" ht="18" customHeight="1" x14ac:dyDescent="0.25">
      <c r="A106" s="179">
        <v>3</v>
      </c>
      <c r="B106" s="180" t="s">
        <v>243</v>
      </c>
      <c r="C106" s="181"/>
      <c r="D106" s="182"/>
      <c r="E106" s="179">
        <v>1</v>
      </c>
      <c r="F106" s="412">
        <f t="shared" ref="F106:M106" si="73">ROUNDDOWN(F86*$N$106,-3)</f>
        <v>195000</v>
      </c>
      <c r="G106" s="412">
        <f t="shared" si="73"/>
        <v>254000</v>
      </c>
      <c r="H106" s="412">
        <f t="shared" si="73"/>
        <v>330000</v>
      </c>
      <c r="I106" s="412">
        <f t="shared" si="73"/>
        <v>429000</v>
      </c>
      <c r="J106" s="412">
        <f t="shared" si="73"/>
        <v>601000</v>
      </c>
      <c r="K106" s="412">
        <f t="shared" si="73"/>
        <v>842000</v>
      </c>
      <c r="L106" s="413">
        <f t="shared" si="73"/>
        <v>1179000</v>
      </c>
      <c r="M106" s="413">
        <f t="shared" si="73"/>
        <v>1650000</v>
      </c>
      <c r="N106" s="226">
        <v>0.4</v>
      </c>
    </row>
    <row r="107" spans="1:14" ht="18" customHeight="1" x14ac:dyDescent="0.25">
      <c r="A107" s="179">
        <v>4</v>
      </c>
      <c r="B107" s="180" t="s">
        <v>244</v>
      </c>
      <c r="C107" s="181"/>
      <c r="D107" s="182"/>
      <c r="E107" s="179">
        <v>1</v>
      </c>
      <c r="F107" s="412">
        <f t="shared" ref="F107:M107" si="74">ROUNDDOWN(F86*$N$107,-3)</f>
        <v>122000</v>
      </c>
      <c r="G107" s="412">
        <f t="shared" si="74"/>
        <v>158000</v>
      </c>
      <c r="H107" s="412">
        <f t="shared" si="74"/>
        <v>206000</v>
      </c>
      <c r="I107" s="412">
        <f t="shared" si="74"/>
        <v>268000</v>
      </c>
      <c r="J107" s="412">
        <f t="shared" si="74"/>
        <v>376000</v>
      </c>
      <c r="K107" s="412">
        <f t="shared" si="74"/>
        <v>526000</v>
      </c>
      <c r="L107" s="413">
        <f t="shared" si="74"/>
        <v>737000</v>
      </c>
      <c r="M107" s="413">
        <f t="shared" si="74"/>
        <v>1031000</v>
      </c>
      <c r="N107" s="226">
        <v>0.25</v>
      </c>
    </row>
    <row r="108" spans="1:14" ht="18" customHeight="1" x14ac:dyDescent="0.25">
      <c r="A108" s="179">
        <v>5</v>
      </c>
      <c r="B108" s="180" t="s">
        <v>282</v>
      </c>
      <c r="C108" s="208"/>
      <c r="D108" s="209"/>
      <c r="E108" s="179" t="s">
        <v>195</v>
      </c>
      <c r="F108" s="412">
        <f t="shared" ref="F108:M108" si="75">ROUNDDOWN(F86*$N$108,-3)</f>
        <v>195000</v>
      </c>
      <c r="G108" s="412">
        <f t="shared" si="75"/>
        <v>254000</v>
      </c>
      <c r="H108" s="412">
        <f t="shared" si="75"/>
        <v>330000</v>
      </c>
      <c r="I108" s="412">
        <f t="shared" si="75"/>
        <v>429000</v>
      </c>
      <c r="J108" s="412">
        <f t="shared" si="75"/>
        <v>601000</v>
      </c>
      <c r="K108" s="412">
        <f t="shared" si="75"/>
        <v>842000</v>
      </c>
      <c r="L108" s="413">
        <f t="shared" si="75"/>
        <v>1179000</v>
      </c>
      <c r="M108" s="413">
        <f t="shared" si="75"/>
        <v>1650000</v>
      </c>
      <c r="N108" s="226">
        <v>0.4</v>
      </c>
    </row>
    <row r="109" spans="1:14" ht="18" customHeight="1" x14ac:dyDescent="0.25">
      <c r="A109" s="179">
        <v>6</v>
      </c>
      <c r="B109" s="180" t="s">
        <v>283</v>
      </c>
      <c r="C109" s="181"/>
      <c r="D109" s="182"/>
      <c r="E109" s="179" t="s">
        <v>195</v>
      </c>
      <c r="F109" s="412">
        <f t="shared" ref="F109:M109" si="76">ROUNDDOWN(F86*$N$109,-3)</f>
        <v>195000</v>
      </c>
      <c r="G109" s="412">
        <f t="shared" si="76"/>
        <v>254000</v>
      </c>
      <c r="H109" s="412">
        <f t="shared" si="76"/>
        <v>330000</v>
      </c>
      <c r="I109" s="412">
        <f t="shared" si="76"/>
        <v>429000</v>
      </c>
      <c r="J109" s="412">
        <f t="shared" si="76"/>
        <v>601000</v>
      </c>
      <c r="K109" s="412">
        <f t="shared" si="76"/>
        <v>842000</v>
      </c>
      <c r="L109" s="413">
        <f t="shared" si="76"/>
        <v>1179000</v>
      </c>
      <c r="M109" s="413">
        <f t="shared" si="76"/>
        <v>1650000</v>
      </c>
      <c r="N109" s="226">
        <v>0.4</v>
      </c>
    </row>
    <row r="110" spans="1:14" ht="18" customHeight="1" x14ac:dyDescent="0.25">
      <c r="A110" s="179">
        <v>7</v>
      </c>
      <c r="B110" s="180" t="s">
        <v>254</v>
      </c>
      <c r="C110" s="181"/>
      <c r="D110" s="182"/>
      <c r="E110" s="179" t="s">
        <v>255</v>
      </c>
      <c r="F110" s="412">
        <f t="shared" ref="F110:M110" si="77">ROUNDDOWN(F86*$N$110,-3)</f>
        <v>122000</v>
      </c>
      <c r="G110" s="412">
        <f t="shared" si="77"/>
        <v>158000</v>
      </c>
      <c r="H110" s="412">
        <f t="shared" si="77"/>
        <v>206000</v>
      </c>
      <c r="I110" s="412">
        <f t="shared" si="77"/>
        <v>268000</v>
      </c>
      <c r="J110" s="412">
        <f t="shared" si="77"/>
        <v>376000</v>
      </c>
      <c r="K110" s="412">
        <f t="shared" si="77"/>
        <v>526000</v>
      </c>
      <c r="L110" s="413">
        <f t="shared" si="77"/>
        <v>737000</v>
      </c>
      <c r="M110" s="413">
        <f t="shared" si="77"/>
        <v>1031000</v>
      </c>
      <c r="N110" s="244">
        <v>0.25</v>
      </c>
    </row>
    <row r="111" spans="1:14" s="144" customFormat="1" ht="18" customHeight="1" x14ac:dyDescent="0.25">
      <c r="A111" s="239"/>
      <c r="B111" s="227" t="s">
        <v>256</v>
      </c>
      <c r="C111" s="228"/>
      <c r="D111" s="229"/>
      <c r="E111" s="195"/>
      <c r="F111" s="406">
        <f t="shared" ref="F111:M111" si="78">SUM(F104:F110)</f>
        <v>1146000</v>
      </c>
      <c r="G111" s="406">
        <f t="shared" si="78"/>
        <v>1490000</v>
      </c>
      <c r="H111" s="406">
        <f t="shared" si="78"/>
        <v>1938000</v>
      </c>
      <c r="I111" s="406">
        <f t="shared" si="78"/>
        <v>2520000</v>
      </c>
      <c r="J111" s="406">
        <f t="shared" si="78"/>
        <v>3532000</v>
      </c>
      <c r="K111" s="407">
        <f t="shared" si="78"/>
        <v>4946000</v>
      </c>
      <c r="L111" s="407">
        <f t="shared" si="78"/>
        <v>6927000</v>
      </c>
      <c r="M111" s="407">
        <f t="shared" si="78"/>
        <v>9693000</v>
      </c>
      <c r="N111" s="191"/>
    </row>
    <row r="112" spans="1:14" s="144" customFormat="1" ht="18" customHeight="1" x14ac:dyDescent="0.25">
      <c r="A112" s="196"/>
      <c r="B112" s="605" t="s">
        <v>257</v>
      </c>
      <c r="C112" s="606"/>
      <c r="D112" s="607"/>
      <c r="E112" s="195"/>
      <c r="F112" s="406">
        <f>F82+F101+F111</f>
        <v>4678000</v>
      </c>
      <c r="G112" s="406">
        <f>G82+G101+G111</f>
        <v>6079000</v>
      </c>
      <c r="H112" s="406">
        <f t="shared" ref="H112:M112" si="79">H82+H101+H111</f>
        <v>7910000</v>
      </c>
      <c r="I112" s="406">
        <f t="shared" si="79"/>
        <v>10287000</v>
      </c>
      <c r="J112" s="406">
        <f t="shared" si="79"/>
        <v>14415000</v>
      </c>
      <c r="K112" s="406">
        <f t="shared" si="79"/>
        <v>20180000</v>
      </c>
      <c r="L112" s="407">
        <f t="shared" si="79"/>
        <v>28263000</v>
      </c>
      <c r="M112" s="407">
        <f t="shared" si="79"/>
        <v>39565000</v>
      </c>
      <c r="N112" s="191"/>
    </row>
    <row r="113" spans="1:14" ht="18" customHeight="1" x14ac:dyDescent="0.25">
      <c r="A113" s="213" t="s">
        <v>258</v>
      </c>
      <c r="B113" s="2"/>
      <c r="C113" s="2"/>
      <c r="D113" s="2"/>
      <c r="E113" s="2"/>
      <c r="F113" s="442"/>
      <c r="G113" s="443"/>
      <c r="H113" s="443"/>
      <c r="I113" s="443"/>
      <c r="J113" s="443"/>
      <c r="K113" s="2"/>
      <c r="L113" s="2"/>
    </row>
    <row r="114" spans="1:14" s="80" customFormat="1" ht="18" customHeight="1" x14ac:dyDescent="0.25">
      <c r="A114" s="242"/>
      <c r="B114" s="80" t="s">
        <v>259</v>
      </c>
      <c r="C114" s="242"/>
      <c r="D114" s="242"/>
      <c r="E114" s="242"/>
      <c r="F114" s="444"/>
      <c r="G114" s="444"/>
      <c r="H114" s="444"/>
      <c r="I114" s="444"/>
      <c r="J114" s="444"/>
      <c r="K114" s="242"/>
      <c r="L114" s="242"/>
    </row>
    <row r="115" spans="1:14" s="80" customFormat="1" ht="18" customHeight="1" x14ac:dyDescent="0.25">
      <c r="A115" s="242"/>
      <c r="B115" s="80" t="s">
        <v>260</v>
      </c>
      <c r="C115" s="242"/>
      <c r="D115" s="242"/>
      <c r="E115" s="242"/>
      <c r="F115" s="444"/>
      <c r="G115" s="444"/>
      <c r="H115" s="444"/>
      <c r="I115" s="444"/>
      <c r="J115" s="444"/>
      <c r="K115" s="242"/>
      <c r="L115" s="242"/>
    </row>
    <row r="116" spans="1:14" s="80" customFormat="1" ht="18" customHeight="1" x14ac:dyDescent="0.25">
      <c r="A116" s="242"/>
      <c r="B116" s="80" t="s">
        <v>262</v>
      </c>
      <c r="C116" s="242"/>
      <c r="D116" s="242"/>
      <c r="E116" s="242"/>
      <c r="F116" s="444"/>
      <c r="G116" s="444"/>
      <c r="H116" s="444"/>
      <c r="I116" s="444"/>
      <c r="J116" s="444"/>
      <c r="K116" s="242"/>
      <c r="L116" s="242"/>
    </row>
    <row r="117" spans="1:14" s="80" customFormat="1" ht="18" customHeight="1" x14ac:dyDescent="0.25">
      <c r="A117" s="242"/>
      <c r="B117" s="80" t="s">
        <v>263</v>
      </c>
      <c r="C117" s="242"/>
      <c r="D117" s="242"/>
      <c r="E117" s="242"/>
      <c r="F117" s="444"/>
      <c r="G117" s="444"/>
      <c r="H117" s="444"/>
      <c r="I117" s="444"/>
      <c r="J117" s="444"/>
      <c r="K117" s="242"/>
      <c r="L117" s="242"/>
    </row>
    <row r="118" spans="1:14" s="80" customFormat="1" ht="18" customHeight="1" x14ac:dyDescent="0.25">
      <c r="A118" s="243"/>
      <c r="B118" s="242" t="s">
        <v>284</v>
      </c>
      <c r="C118" s="242"/>
      <c r="D118" s="242"/>
      <c r="E118" s="242"/>
      <c r="F118" s="444"/>
      <c r="G118" s="444"/>
      <c r="H118" s="444"/>
      <c r="I118" s="444"/>
      <c r="J118" s="444"/>
      <c r="K118" s="242"/>
      <c r="L118" s="242"/>
    </row>
    <row r="119" spans="1:14" s="80" customFormat="1" ht="18" customHeight="1" x14ac:dyDescent="0.25">
      <c r="A119" s="242"/>
      <c r="B119" s="242" t="s">
        <v>285</v>
      </c>
      <c r="C119" s="242"/>
      <c r="D119" s="242"/>
      <c r="E119" s="242"/>
      <c r="F119" s="444"/>
      <c r="G119" s="444"/>
      <c r="H119" s="444"/>
      <c r="I119" s="444"/>
      <c r="J119" s="444"/>
      <c r="K119" s="242"/>
      <c r="L119" s="242"/>
    </row>
    <row r="120" spans="1:14" ht="18" customHeight="1" x14ac:dyDescent="0.25"/>
    <row r="121" spans="1:14" ht="18" customHeight="1" x14ac:dyDescent="0.25"/>
    <row r="124" spans="1:14" x14ac:dyDescent="0.25">
      <c r="A124" s="144" t="s">
        <v>382</v>
      </c>
      <c r="B124" s="144"/>
      <c r="C124" s="144"/>
      <c r="D124" s="144"/>
      <c r="E124" s="144"/>
      <c r="F124" s="144"/>
      <c r="G124" s="144"/>
      <c r="H124" s="144"/>
      <c r="I124" s="144"/>
      <c r="J124" s="144"/>
      <c r="K124" s="144"/>
      <c r="L124" s="144"/>
      <c r="M124" s="144"/>
      <c r="N124" s="473"/>
    </row>
    <row r="125" spans="1:14" x14ac:dyDescent="0.25">
      <c r="A125" s="144"/>
      <c r="B125" s="144"/>
      <c r="C125" s="144"/>
      <c r="D125" s="144"/>
      <c r="E125" s="144"/>
      <c r="F125" s="144"/>
      <c r="G125" s="144"/>
      <c r="H125" s="144"/>
      <c r="I125" s="144"/>
      <c r="J125" s="144"/>
      <c r="K125" s="144"/>
      <c r="L125" s="144">
        <v>234000</v>
      </c>
      <c r="M125" s="144"/>
      <c r="N125" s="473"/>
    </row>
    <row r="126" spans="1:14" x14ac:dyDescent="0.25">
      <c r="A126" s="586" t="s">
        <v>383</v>
      </c>
      <c r="B126" s="587"/>
      <c r="C126" s="587"/>
      <c r="D126" s="587"/>
      <c r="E126" s="588"/>
      <c r="F126" s="195" t="s">
        <v>1</v>
      </c>
      <c r="G126" s="195" t="s">
        <v>2</v>
      </c>
      <c r="H126" s="195" t="s">
        <v>3</v>
      </c>
      <c r="I126" s="195" t="s">
        <v>4</v>
      </c>
      <c r="J126" s="546" t="s">
        <v>5</v>
      </c>
      <c r="K126" s="546" t="s">
        <v>125</v>
      </c>
      <c r="L126" s="546" t="s">
        <v>126</v>
      </c>
      <c r="M126" s="546" t="s">
        <v>127</v>
      </c>
      <c r="N126" s="191"/>
    </row>
    <row r="127" spans="1:14" s="476" customFormat="1" x14ac:dyDescent="0.25">
      <c r="A127" s="589"/>
      <c r="B127" s="590"/>
      <c r="C127" s="590"/>
      <c r="D127" s="590"/>
      <c r="E127" s="591"/>
      <c r="F127" s="474">
        <v>0.65</v>
      </c>
      <c r="G127" s="474">
        <f>F127*1.3</f>
        <v>0.84500000000000008</v>
      </c>
      <c r="H127" s="474">
        <f t="shared" ref="H127:I127" si="80">G127*1.3</f>
        <v>1.0985000000000003</v>
      </c>
      <c r="I127" s="474">
        <f t="shared" si="80"/>
        <v>1.4280500000000005</v>
      </c>
      <c r="J127" s="474">
        <f>I127*1.4</f>
        <v>1.9992700000000005</v>
      </c>
      <c r="K127" s="474">
        <f t="shared" ref="K127:M127" si="81">J127*1.4</f>
        <v>2.7989780000000004</v>
      </c>
      <c r="L127" s="474">
        <f t="shared" si="81"/>
        <v>3.9185692000000003</v>
      </c>
      <c r="M127" s="474">
        <f t="shared" si="81"/>
        <v>5.4859968800000001</v>
      </c>
      <c r="N127" s="475"/>
    </row>
    <row r="128" spans="1:14" x14ac:dyDescent="0.25">
      <c r="A128" s="144" t="s">
        <v>183</v>
      </c>
      <c r="B128" s="473"/>
      <c r="C128" s="473"/>
      <c r="D128" s="473"/>
      <c r="E128" s="473"/>
      <c r="F128" s="176">
        <f>149000*0.7</f>
        <v>104300</v>
      </c>
      <c r="G128" s="176">
        <f>149000*1</f>
        <v>149000</v>
      </c>
      <c r="H128" s="176">
        <f>149000*1.5</f>
        <v>223500</v>
      </c>
      <c r="I128" s="176">
        <f>149000*2</f>
        <v>298000</v>
      </c>
      <c r="J128" s="176">
        <f>149000*2.5</f>
        <v>372500</v>
      </c>
      <c r="K128" s="176">
        <f>149000*3</f>
        <v>447000</v>
      </c>
      <c r="L128" s="176">
        <f>149000*3.5</f>
        <v>521500</v>
      </c>
      <c r="M128" s="176">
        <f>149000*4</f>
        <v>596000</v>
      </c>
      <c r="N128" s="477"/>
    </row>
    <row r="129" spans="1:14" x14ac:dyDescent="0.25">
      <c r="A129" s="199" t="s">
        <v>28</v>
      </c>
      <c r="B129" s="478" t="s">
        <v>184</v>
      </c>
      <c r="C129" s="471"/>
      <c r="D129" s="472"/>
      <c r="E129" s="479" t="s">
        <v>185</v>
      </c>
      <c r="F129" s="479"/>
      <c r="G129" s="479"/>
      <c r="H129" s="479"/>
      <c r="I129" s="479"/>
      <c r="J129" s="199"/>
      <c r="K129" s="199"/>
      <c r="L129" s="199"/>
      <c r="M129" s="199"/>
      <c r="N129" s="480" t="s">
        <v>134</v>
      </c>
    </row>
    <row r="130" spans="1:14" x14ac:dyDescent="0.25">
      <c r="A130" s="481">
        <v>1</v>
      </c>
      <c r="B130" s="482" t="s">
        <v>186</v>
      </c>
      <c r="C130" s="483"/>
      <c r="D130" s="484"/>
      <c r="E130" s="485">
        <v>1</v>
      </c>
      <c r="F130" s="486">
        <f>ROUNDDOWN(F138*80%,-3)</f>
        <v>121000</v>
      </c>
      <c r="G130" s="486">
        <f t="shared" ref="G130:M130" si="82">ROUNDDOWN(G138*80%,-3)</f>
        <v>157000</v>
      </c>
      <c r="H130" s="486">
        <f t="shared" si="82"/>
        <v>205000</v>
      </c>
      <c r="I130" s="486">
        <f t="shared" si="82"/>
        <v>267000</v>
      </c>
      <c r="J130" s="486">
        <f t="shared" si="82"/>
        <v>373000</v>
      </c>
      <c r="K130" s="486">
        <f t="shared" si="82"/>
        <v>523000</v>
      </c>
      <c r="L130" s="486">
        <f t="shared" si="82"/>
        <v>732000</v>
      </c>
      <c r="M130" s="486">
        <f t="shared" si="82"/>
        <v>1026000</v>
      </c>
      <c r="N130" s="551">
        <f>80%-(80%*35%)</f>
        <v>0.52</v>
      </c>
    </row>
    <row r="131" spans="1:14" x14ac:dyDescent="0.25">
      <c r="A131" s="481">
        <v>2</v>
      </c>
      <c r="B131" s="482" t="s">
        <v>187</v>
      </c>
      <c r="C131" s="483"/>
      <c r="D131" s="484"/>
      <c r="E131" s="485">
        <v>1</v>
      </c>
      <c r="F131" s="486">
        <f>ROUNDDOWN(F138*70%,-3)</f>
        <v>106000</v>
      </c>
      <c r="G131" s="486">
        <f t="shared" ref="G131:M131" si="83">ROUNDDOWN(G138*70%,-3)</f>
        <v>137000</v>
      </c>
      <c r="H131" s="486">
        <f t="shared" si="83"/>
        <v>179000</v>
      </c>
      <c r="I131" s="486">
        <f t="shared" si="83"/>
        <v>233000</v>
      </c>
      <c r="J131" s="486">
        <f t="shared" si="83"/>
        <v>326000</v>
      </c>
      <c r="K131" s="486">
        <f t="shared" si="83"/>
        <v>457000</v>
      </c>
      <c r="L131" s="486">
        <f t="shared" si="83"/>
        <v>641000</v>
      </c>
      <c r="M131" s="486">
        <f t="shared" si="83"/>
        <v>898000</v>
      </c>
      <c r="N131" s="551">
        <f>70%-(70%*35%)</f>
        <v>0.45499999999999996</v>
      </c>
    </row>
    <row r="132" spans="1:14" x14ac:dyDescent="0.25">
      <c r="A132" s="481">
        <v>3</v>
      </c>
      <c r="B132" s="482" t="s">
        <v>188</v>
      </c>
      <c r="C132" s="483"/>
      <c r="D132" s="484"/>
      <c r="E132" s="485">
        <v>1</v>
      </c>
      <c r="F132" s="486">
        <f>ROUNDDOWN(F138*70%,-3)</f>
        <v>106000</v>
      </c>
      <c r="G132" s="486">
        <f t="shared" ref="G132:M132" si="84">ROUNDDOWN(G138*70%,-3)</f>
        <v>137000</v>
      </c>
      <c r="H132" s="486">
        <f t="shared" si="84"/>
        <v>179000</v>
      </c>
      <c r="I132" s="486">
        <f t="shared" si="84"/>
        <v>233000</v>
      </c>
      <c r="J132" s="486">
        <f t="shared" si="84"/>
        <v>326000</v>
      </c>
      <c r="K132" s="486">
        <f t="shared" si="84"/>
        <v>457000</v>
      </c>
      <c r="L132" s="486">
        <f t="shared" si="84"/>
        <v>641000</v>
      </c>
      <c r="M132" s="486">
        <f t="shared" si="84"/>
        <v>898000</v>
      </c>
      <c r="N132" s="551">
        <f>70%-(70%*35%)</f>
        <v>0.45499999999999996</v>
      </c>
    </row>
    <row r="133" spans="1:14" s="125" customFormat="1" ht="31.5" x14ac:dyDescent="0.25">
      <c r="A133" s="517">
        <v>4</v>
      </c>
      <c r="B133" s="502" t="s">
        <v>192</v>
      </c>
      <c r="C133" s="503"/>
      <c r="D133" s="504"/>
      <c r="E133" s="505"/>
      <c r="F133" s="505"/>
      <c r="G133" s="505"/>
      <c r="H133" s="505"/>
      <c r="I133" s="505"/>
      <c r="J133" s="518"/>
      <c r="K133" s="518"/>
      <c r="L133" s="518"/>
      <c r="M133" s="518"/>
      <c r="N133" s="519" t="s">
        <v>384</v>
      </c>
    </row>
    <row r="134" spans="1:14" x14ac:dyDescent="0.25">
      <c r="A134" s="485">
        <v>5</v>
      </c>
      <c r="B134" s="489" t="s">
        <v>385</v>
      </c>
      <c r="C134" s="490"/>
      <c r="D134" s="491"/>
      <c r="E134" s="485" t="s">
        <v>195</v>
      </c>
      <c r="F134" s="486">
        <f>ROUNDDOWN(F138*50%,-3)</f>
        <v>76000</v>
      </c>
      <c r="G134" s="486">
        <f t="shared" ref="G134:M134" si="85">ROUNDDOWN(G138*50%,-3)</f>
        <v>98000</v>
      </c>
      <c r="H134" s="486">
        <f t="shared" si="85"/>
        <v>128000</v>
      </c>
      <c r="I134" s="486">
        <f t="shared" si="85"/>
        <v>167000</v>
      </c>
      <c r="J134" s="486">
        <f t="shared" si="85"/>
        <v>233000</v>
      </c>
      <c r="K134" s="486">
        <f t="shared" si="85"/>
        <v>327000</v>
      </c>
      <c r="L134" s="486">
        <f t="shared" si="85"/>
        <v>458000</v>
      </c>
      <c r="M134" s="486">
        <f t="shared" si="85"/>
        <v>641000</v>
      </c>
      <c r="N134" s="492" t="s">
        <v>386</v>
      </c>
    </row>
    <row r="135" spans="1:14" x14ac:dyDescent="0.25">
      <c r="A135" s="191"/>
      <c r="B135" s="227" t="s">
        <v>198</v>
      </c>
      <c r="C135" s="228"/>
      <c r="D135" s="229"/>
      <c r="E135" s="195"/>
      <c r="F135" s="493">
        <f>SUM(F130:F134)</f>
        <v>409000</v>
      </c>
      <c r="G135" s="493">
        <f t="shared" ref="G135:M135" si="86">SUM(G130:G134)</f>
        <v>529000</v>
      </c>
      <c r="H135" s="493">
        <f t="shared" si="86"/>
        <v>691000</v>
      </c>
      <c r="I135" s="493">
        <f t="shared" si="86"/>
        <v>900000</v>
      </c>
      <c r="J135" s="493">
        <f t="shared" si="86"/>
        <v>1258000</v>
      </c>
      <c r="K135" s="493">
        <f t="shared" si="86"/>
        <v>1764000</v>
      </c>
      <c r="L135" s="493">
        <f t="shared" si="86"/>
        <v>2472000</v>
      </c>
      <c r="M135" s="493">
        <f t="shared" si="86"/>
        <v>3463000</v>
      </c>
      <c r="N135" s="196"/>
    </row>
    <row r="136" spans="1:14" x14ac:dyDescent="0.25">
      <c r="A136" s="494" t="s">
        <v>199</v>
      </c>
      <c r="B136" s="494"/>
      <c r="C136" s="494"/>
      <c r="D136" s="495"/>
      <c r="E136" s="198"/>
      <c r="F136" s="496"/>
      <c r="G136" s="496"/>
      <c r="H136" s="496"/>
      <c r="I136" s="496"/>
      <c r="J136" s="144"/>
      <c r="K136" s="144"/>
      <c r="L136" s="144"/>
      <c r="M136" s="144"/>
      <c r="N136" s="144"/>
    </row>
    <row r="137" spans="1:14" x14ac:dyDescent="0.25">
      <c r="A137" s="497" t="s">
        <v>28</v>
      </c>
      <c r="B137" s="498" t="s">
        <v>184</v>
      </c>
      <c r="C137" s="499"/>
      <c r="D137" s="500"/>
      <c r="E137" s="199"/>
      <c r="F137" s="199"/>
      <c r="G137" s="199"/>
      <c r="H137" s="199"/>
      <c r="I137" s="199"/>
      <c r="J137" s="199"/>
      <c r="K137" s="199"/>
      <c r="L137" s="199"/>
      <c r="M137" s="199"/>
      <c r="N137" s="191"/>
    </row>
    <row r="138" spans="1:14" x14ac:dyDescent="0.25">
      <c r="A138" s="481">
        <v>1</v>
      </c>
      <c r="B138" s="482" t="s">
        <v>201</v>
      </c>
      <c r="C138" s="483"/>
      <c r="D138" s="484"/>
      <c r="E138" s="485">
        <v>1</v>
      </c>
      <c r="F138" s="486">
        <f>ROUNDDOWN(F127*$L$125*100%,-3)</f>
        <v>152000</v>
      </c>
      <c r="G138" s="486">
        <f>ROUNDDOWN(G127*$L$125*100%,-3)</f>
        <v>197000</v>
      </c>
      <c r="H138" s="486">
        <f t="shared" ref="H138:M138" si="87">ROUNDDOWN(H127*$L$125*100%,-3)</f>
        <v>257000</v>
      </c>
      <c r="I138" s="486">
        <f t="shared" si="87"/>
        <v>334000</v>
      </c>
      <c r="J138" s="486">
        <f t="shared" si="87"/>
        <v>467000</v>
      </c>
      <c r="K138" s="486">
        <f t="shared" si="87"/>
        <v>654000</v>
      </c>
      <c r="L138" s="486">
        <f t="shared" si="87"/>
        <v>916000</v>
      </c>
      <c r="M138" s="486">
        <f t="shared" si="87"/>
        <v>1283000</v>
      </c>
      <c r="N138" s="501" t="s">
        <v>387</v>
      </c>
    </row>
    <row r="139" spans="1:14" x14ac:dyDescent="0.25">
      <c r="A139" s="481">
        <v>2</v>
      </c>
      <c r="B139" s="502" t="s">
        <v>269</v>
      </c>
      <c r="C139" s="503"/>
      <c r="D139" s="504"/>
      <c r="E139" s="505">
        <v>1</v>
      </c>
      <c r="F139" s="486">
        <f>ROUNDDOWN(F138*60%,-3)</f>
        <v>91000</v>
      </c>
      <c r="G139" s="486">
        <f t="shared" ref="G139:M139" si="88">ROUNDDOWN(G138*60%,-3)</f>
        <v>118000</v>
      </c>
      <c r="H139" s="486">
        <f t="shared" si="88"/>
        <v>154000</v>
      </c>
      <c r="I139" s="486">
        <f t="shared" si="88"/>
        <v>200000</v>
      </c>
      <c r="J139" s="486">
        <f t="shared" si="88"/>
        <v>280000</v>
      </c>
      <c r="K139" s="486">
        <f t="shared" si="88"/>
        <v>392000</v>
      </c>
      <c r="L139" s="486">
        <f t="shared" si="88"/>
        <v>549000</v>
      </c>
      <c r="M139" s="486">
        <f t="shared" si="88"/>
        <v>769000</v>
      </c>
      <c r="N139" s="487" t="s">
        <v>270</v>
      </c>
    </row>
    <row r="140" spans="1:14" x14ac:dyDescent="0.25">
      <c r="A140" s="481">
        <v>3</v>
      </c>
      <c r="B140" s="482" t="s">
        <v>204</v>
      </c>
      <c r="C140" s="483"/>
      <c r="D140" s="276"/>
      <c r="E140" s="485">
        <v>1</v>
      </c>
      <c r="F140" s="486">
        <f>ROUNDDOWN(F138*60%,-3)</f>
        <v>91000</v>
      </c>
      <c r="G140" s="486">
        <f t="shared" ref="G140:M140" si="89">ROUNDDOWN(G138*60%,-3)</f>
        <v>118000</v>
      </c>
      <c r="H140" s="486">
        <f t="shared" si="89"/>
        <v>154000</v>
      </c>
      <c r="I140" s="486">
        <f t="shared" si="89"/>
        <v>200000</v>
      </c>
      <c r="J140" s="486">
        <f t="shared" si="89"/>
        <v>280000</v>
      </c>
      <c r="K140" s="486">
        <f t="shared" si="89"/>
        <v>392000</v>
      </c>
      <c r="L140" s="486">
        <f t="shared" si="89"/>
        <v>549000</v>
      </c>
      <c r="M140" s="486">
        <f t="shared" si="89"/>
        <v>769000</v>
      </c>
      <c r="N140" s="487" t="s">
        <v>270</v>
      </c>
    </row>
    <row r="141" spans="1:14" x14ac:dyDescent="0.25">
      <c r="A141" s="481">
        <v>4</v>
      </c>
      <c r="B141" s="482" t="s">
        <v>206</v>
      </c>
      <c r="C141" s="483"/>
      <c r="D141" s="484"/>
      <c r="E141" s="485"/>
      <c r="F141" s="485"/>
      <c r="G141" s="485"/>
      <c r="H141" s="485"/>
      <c r="I141" s="485"/>
      <c r="J141" s="486"/>
      <c r="K141" s="488"/>
      <c r="L141" s="488"/>
      <c r="M141" s="488"/>
      <c r="N141" s="487"/>
    </row>
    <row r="142" spans="1:14" x14ac:dyDescent="0.25">
      <c r="A142" s="481">
        <v>4.0999999999999996</v>
      </c>
      <c r="B142" s="482" t="s">
        <v>208</v>
      </c>
      <c r="C142" s="483"/>
      <c r="D142" s="484"/>
      <c r="E142" s="485">
        <v>1</v>
      </c>
      <c r="F142" s="486">
        <f>ROUNDDOWN(F138*50%,-3)</f>
        <v>76000</v>
      </c>
      <c r="G142" s="486">
        <f t="shared" ref="G142:M142" si="90">ROUNDDOWN(G138*50%,-3)</f>
        <v>98000</v>
      </c>
      <c r="H142" s="486">
        <f t="shared" si="90"/>
        <v>128000</v>
      </c>
      <c r="I142" s="486">
        <f t="shared" si="90"/>
        <v>167000</v>
      </c>
      <c r="J142" s="486">
        <f t="shared" si="90"/>
        <v>233000</v>
      </c>
      <c r="K142" s="486">
        <f t="shared" si="90"/>
        <v>327000</v>
      </c>
      <c r="L142" s="486">
        <f t="shared" si="90"/>
        <v>458000</v>
      </c>
      <c r="M142" s="486">
        <f t="shared" si="90"/>
        <v>641000</v>
      </c>
      <c r="N142" s="492" t="s">
        <v>386</v>
      </c>
    </row>
    <row r="143" spans="1:14" x14ac:dyDescent="0.25">
      <c r="A143" s="481">
        <v>4.2</v>
      </c>
      <c r="B143" s="482" t="s">
        <v>339</v>
      </c>
      <c r="C143" s="483"/>
      <c r="D143" s="484"/>
      <c r="E143" s="485">
        <v>1</v>
      </c>
      <c r="F143" s="486">
        <f>ROUNDDOWN(F138*40%,-3)</f>
        <v>60000</v>
      </c>
      <c r="G143" s="486">
        <f t="shared" ref="G143:M143" si="91">ROUNDDOWN(G138*40%,-3)</f>
        <v>78000</v>
      </c>
      <c r="H143" s="486">
        <f t="shared" si="91"/>
        <v>102000</v>
      </c>
      <c r="I143" s="486">
        <f t="shared" si="91"/>
        <v>133000</v>
      </c>
      <c r="J143" s="486">
        <f t="shared" si="91"/>
        <v>186000</v>
      </c>
      <c r="K143" s="486">
        <f t="shared" si="91"/>
        <v>261000</v>
      </c>
      <c r="L143" s="486">
        <f t="shared" si="91"/>
        <v>366000</v>
      </c>
      <c r="M143" s="486">
        <f t="shared" si="91"/>
        <v>513000</v>
      </c>
      <c r="N143" s="487" t="s">
        <v>388</v>
      </c>
    </row>
    <row r="144" spans="1:14" x14ac:dyDescent="0.25">
      <c r="A144" s="481">
        <v>5</v>
      </c>
      <c r="B144" s="482" t="s">
        <v>214</v>
      </c>
      <c r="C144" s="483"/>
      <c r="D144" s="484"/>
      <c r="E144" s="485"/>
      <c r="F144" s="485"/>
      <c r="G144" s="485"/>
      <c r="H144" s="485"/>
      <c r="I144" s="485"/>
      <c r="J144" s="488"/>
      <c r="K144" s="488"/>
      <c r="L144" s="488"/>
      <c r="M144" s="488"/>
      <c r="N144" s="506"/>
    </row>
    <row r="145" spans="1:14" x14ac:dyDescent="0.25">
      <c r="A145" s="481" t="s">
        <v>271</v>
      </c>
      <c r="B145" s="482" t="s">
        <v>389</v>
      </c>
      <c r="C145" s="483"/>
      <c r="D145" s="484"/>
      <c r="E145" s="485" t="s">
        <v>195</v>
      </c>
      <c r="F145" s="486">
        <f>ROUNDDOWN(F138*20%,-3)</f>
        <v>30000</v>
      </c>
      <c r="G145" s="486">
        <f t="shared" ref="G145:M145" si="92">ROUNDDOWN(G138*20%,-3)</f>
        <v>39000</v>
      </c>
      <c r="H145" s="486">
        <f t="shared" si="92"/>
        <v>51000</v>
      </c>
      <c r="I145" s="486">
        <f t="shared" si="92"/>
        <v>66000</v>
      </c>
      <c r="J145" s="486">
        <f t="shared" si="92"/>
        <v>93000</v>
      </c>
      <c r="K145" s="486">
        <f t="shared" si="92"/>
        <v>130000</v>
      </c>
      <c r="L145" s="486">
        <f t="shared" si="92"/>
        <v>183000</v>
      </c>
      <c r="M145" s="486">
        <f t="shared" si="92"/>
        <v>256000</v>
      </c>
      <c r="N145" s="487" t="s">
        <v>114</v>
      </c>
    </row>
    <row r="146" spans="1:14" x14ac:dyDescent="0.25">
      <c r="A146" s="485" t="s">
        <v>272</v>
      </c>
      <c r="B146" s="507" t="s">
        <v>390</v>
      </c>
      <c r="C146" s="508"/>
      <c r="D146" s="509"/>
      <c r="E146" s="485" t="s">
        <v>195</v>
      </c>
      <c r="F146" s="486">
        <f>ROUNDDOWN(F138*30%,-3)</f>
        <v>45000</v>
      </c>
      <c r="G146" s="486">
        <f t="shared" ref="G146:M146" si="93">ROUNDDOWN(G138*30%,-3)</f>
        <v>59000</v>
      </c>
      <c r="H146" s="486">
        <f t="shared" si="93"/>
        <v>77000</v>
      </c>
      <c r="I146" s="486">
        <f t="shared" si="93"/>
        <v>100000</v>
      </c>
      <c r="J146" s="486">
        <f t="shared" si="93"/>
        <v>140000</v>
      </c>
      <c r="K146" s="486">
        <f t="shared" si="93"/>
        <v>196000</v>
      </c>
      <c r="L146" s="486">
        <f t="shared" si="93"/>
        <v>274000</v>
      </c>
      <c r="M146" s="486">
        <f t="shared" si="93"/>
        <v>384000</v>
      </c>
      <c r="N146" s="487" t="s">
        <v>391</v>
      </c>
    </row>
    <row r="147" spans="1:14" x14ac:dyDescent="0.25">
      <c r="A147" s="485" t="s">
        <v>392</v>
      </c>
      <c r="B147" s="507" t="s">
        <v>393</v>
      </c>
      <c r="C147" s="510"/>
      <c r="D147" s="510"/>
      <c r="E147" s="485" t="s">
        <v>195</v>
      </c>
      <c r="F147" s="486">
        <f>ROUNDDOWN(F138*30%,-3)</f>
        <v>45000</v>
      </c>
      <c r="G147" s="486">
        <f t="shared" ref="G147:M147" si="94">ROUNDDOWN(G138*30%,-3)</f>
        <v>59000</v>
      </c>
      <c r="H147" s="486">
        <f t="shared" si="94"/>
        <v>77000</v>
      </c>
      <c r="I147" s="486">
        <f t="shared" si="94"/>
        <v>100000</v>
      </c>
      <c r="J147" s="486">
        <f t="shared" si="94"/>
        <v>140000</v>
      </c>
      <c r="K147" s="486">
        <f t="shared" si="94"/>
        <v>196000</v>
      </c>
      <c r="L147" s="486">
        <f t="shared" si="94"/>
        <v>274000</v>
      </c>
      <c r="M147" s="486">
        <f t="shared" si="94"/>
        <v>384000</v>
      </c>
      <c r="N147" s="487" t="s">
        <v>391</v>
      </c>
    </row>
    <row r="148" spans="1:14" x14ac:dyDescent="0.25">
      <c r="A148" s="239"/>
      <c r="B148" s="227" t="s">
        <v>239</v>
      </c>
      <c r="C148" s="228"/>
      <c r="D148" s="194"/>
      <c r="E148" s="195"/>
      <c r="F148" s="511">
        <f>SUM(F138:F147)</f>
        <v>590000</v>
      </c>
      <c r="G148" s="511">
        <f t="shared" ref="G148:M148" si="95">SUM(G138:G147)</f>
        <v>766000</v>
      </c>
      <c r="H148" s="511">
        <f t="shared" si="95"/>
        <v>1000000</v>
      </c>
      <c r="I148" s="511">
        <f t="shared" si="95"/>
        <v>1300000</v>
      </c>
      <c r="J148" s="511">
        <f t="shared" si="95"/>
        <v>1819000</v>
      </c>
      <c r="K148" s="511">
        <f t="shared" si="95"/>
        <v>2548000</v>
      </c>
      <c r="L148" s="511">
        <f t="shared" si="95"/>
        <v>3569000</v>
      </c>
      <c r="M148" s="511">
        <f t="shared" si="95"/>
        <v>4999000</v>
      </c>
      <c r="N148" s="191"/>
    </row>
    <row r="149" spans="1:14" x14ac:dyDescent="0.25">
      <c r="A149" s="494" t="s">
        <v>240</v>
      </c>
      <c r="B149" s="494"/>
      <c r="C149" s="494"/>
      <c r="D149" s="495"/>
      <c r="E149" s="195"/>
      <c r="F149" s="496"/>
      <c r="G149" s="496"/>
      <c r="H149" s="496"/>
      <c r="I149" s="496"/>
      <c r="J149" s="144"/>
      <c r="K149" s="144"/>
      <c r="L149" s="144"/>
      <c r="M149" s="144"/>
      <c r="N149" s="144"/>
    </row>
    <row r="150" spans="1:14" x14ac:dyDescent="0.25">
      <c r="A150" s="497" t="s">
        <v>28</v>
      </c>
      <c r="B150" s="498" t="s">
        <v>184</v>
      </c>
      <c r="C150" s="499"/>
      <c r="D150" s="500"/>
      <c r="E150" s="199"/>
      <c r="F150" s="199"/>
      <c r="G150" s="199"/>
      <c r="H150" s="199"/>
      <c r="I150" s="199"/>
      <c r="J150" s="199"/>
      <c r="K150" s="199"/>
      <c r="L150" s="199"/>
      <c r="M150" s="199"/>
      <c r="N150" s="191"/>
    </row>
    <row r="151" spans="1:14" x14ac:dyDescent="0.25">
      <c r="A151" s="481">
        <v>1</v>
      </c>
      <c r="B151" s="482" t="s">
        <v>241</v>
      </c>
      <c r="C151" s="483"/>
      <c r="D151" s="484"/>
      <c r="E151" s="485" t="s">
        <v>195</v>
      </c>
      <c r="F151" s="486">
        <f>ROUNDDOWN(F138*20%,-3)</f>
        <v>30000</v>
      </c>
      <c r="G151" s="486">
        <f t="shared" ref="G151:M151" si="96">ROUNDDOWN(G138*20%,-3)</f>
        <v>39000</v>
      </c>
      <c r="H151" s="486">
        <f t="shared" si="96"/>
        <v>51000</v>
      </c>
      <c r="I151" s="486">
        <f t="shared" si="96"/>
        <v>66000</v>
      </c>
      <c r="J151" s="486">
        <f t="shared" si="96"/>
        <v>93000</v>
      </c>
      <c r="K151" s="486">
        <f t="shared" si="96"/>
        <v>130000</v>
      </c>
      <c r="L151" s="486">
        <f t="shared" si="96"/>
        <v>183000</v>
      </c>
      <c r="M151" s="486">
        <f t="shared" si="96"/>
        <v>256000</v>
      </c>
      <c r="N151" s="487" t="s">
        <v>114</v>
      </c>
    </row>
    <row r="152" spans="1:14" x14ac:dyDescent="0.25">
      <c r="A152" s="485">
        <v>2</v>
      </c>
      <c r="B152" s="512" t="s">
        <v>242</v>
      </c>
      <c r="C152" s="490"/>
      <c r="D152" s="491"/>
      <c r="E152" s="485" t="s">
        <v>195</v>
      </c>
      <c r="F152" s="486">
        <f>ROUNDDOWN(F138*30%,-3)</f>
        <v>45000</v>
      </c>
      <c r="G152" s="486">
        <f t="shared" ref="G152:M152" si="97">ROUNDDOWN(G138*30%,-3)</f>
        <v>59000</v>
      </c>
      <c r="H152" s="486">
        <f t="shared" si="97"/>
        <v>77000</v>
      </c>
      <c r="I152" s="486">
        <f t="shared" si="97"/>
        <v>100000</v>
      </c>
      <c r="J152" s="486">
        <f t="shared" si="97"/>
        <v>140000</v>
      </c>
      <c r="K152" s="486">
        <f t="shared" si="97"/>
        <v>196000</v>
      </c>
      <c r="L152" s="486">
        <f t="shared" si="97"/>
        <v>274000</v>
      </c>
      <c r="M152" s="486">
        <f t="shared" si="97"/>
        <v>384000</v>
      </c>
      <c r="N152" s="487" t="s">
        <v>394</v>
      </c>
    </row>
    <row r="153" spans="1:14" x14ac:dyDescent="0.25">
      <c r="A153" s="481">
        <v>3</v>
      </c>
      <c r="B153" s="482" t="s">
        <v>243</v>
      </c>
      <c r="C153" s="483"/>
      <c r="D153" s="484"/>
      <c r="E153" s="485">
        <v>1</v>
      </c>
      <c r="F153" s="486">
        <f>ROUNDDOWN(F138*50%,-3)</f>
        <v>76000</v>
      </c>
      <c r="G153" s="486">
        <f t="shared" ref="G153:M153" si="98">ROUNDDOWN(G138*50%,-3)</f>
        <v>98000</v>
      </c>
      <c r="H153" s="486">
        <f t="shared" si="98"/>
        <v>128000</v>
      </c>
      <c r="I153" s="486">
        <f t="shared" si="98"/>
        <v>167000</v>
      </c>
      <c r="J153" s="486">
        <f t="shared" si="98"/>
        <v>233000</v>
      </c>
      <c r="K153" s="486">
        <f t="shared" si="98"/>
        <v>327000</v>
      </c>
      <c r="L153" s="486">
        <f t="shared" si="98"/>
        <v>458000</v>
      </c>
      <c r="M153" s="486">
        <f t="shared" si="98"/>
        <v>641000</v>
      </c>
      <c r="N153" s="487" t="s">
        <v>386</v>
      </c>
    </row>
    <row r="154" spans="1:14" x14ac:dyDescent="0.25">
      <c r="A154" s="481">
        <v>4</v>
      </c>
      <c r="B154" s="482" t="s">
        <v>244</v>
      </c>
      <c r="C154" s="483"/>
      <c r="D154" s="484"/>
      <c r="E154" s="485">
        <v>1</v>
      </c>
      <c r="F154" s="486">
        <f>ROUNDDOWN(F138*30%,-3)</f>
        <v>45000</v>
      </c>
      <c r="G154" s="486">
        <f t="shared" ref="G154:M154" si="99">ROUNDDOWN(G138*30%,-3)</f>
        <v>59000</v>
      </c>
      <c r="H154" s="486">
        <f t="shared" si="99"/>
        <v>77000</v>
      </c>
      <c r="I154" s="486">
        <f t="shared" si="99"/>
        <v>100000</v>
      </c>
      <c r="J154" s="486">
        <f t="shared" si="99"/>
        <v>140000</v>
      </c>
      <c r="K154" s="486">
        <f t="shared" si="99"/>
        <v>196000</v>
      </c>
      <c r="L154" s="486">
        <f t="shared" si="99"/>
        <v>274000</v>
      </c>
      <c r="M154" s="486">
        <f t="shared" si="99"/>
        <v>384000</v>
      </c>
      <c r="N154" s="487" t="s">
        <v>394</v>
      </c>
    </row>
    <row r="155" spans="1:14" x14ac:dyDescent="0.25">
      <c r="A155" s="481">
        <v>5</v>
      </c>
      <c r="B155" s="482" t="s">
        <v>282</v>
      </c>
      <c r="C155" s="513"/>
      <c r="D155" s="514"/>
      <c r="E155" s="485" t="s">
        <v>195</v>
      </c>
      <c r="F155" s="486">
        <f>100000*135%</f>
        <v>135000</v>
      </c>
      <c r="G155" s="486">
        <f t="shared" ref="G155:M155" si="100">100000*135%</f>
        <v>135000</v>
      </c>
      <c r="H155" s="486">
        <f t="shared" si="100"/>
        <v>135000</v>
      </c>
      <c r="I155" s="486">
        <f t="shared" si="100"/>
        <v>135000</v>
      </c>
      <c r="J155" s="486">
        <f t="shared" si="100"/>
        <v>135000</v>
      </c>
      <c r="K155" s="486">
        <f t="shared" si="100"/>
        <v>135000</v>
      </c>
      <c r="L155" s="486">
        <f t="shared" si="100"/>
        <v>135000</v>
      </c>
      <c r="M155" s="486">
        <f t="shared" si="100"/>
        <v>135000</v>
      </c>
      <c r="N155" s="487"/>
    </row>
    <row r="156" spans="1:14" x14ac:dyDescent="0.25">
      <c r="A156" s="481">
        <v>6</v>
      </c>
      <c r="B156" s="482" t="s">
        <v>254</v>
      </c>
      <c r="C156" s="483"/>
      <c r="D156" s="484"/>
      <c r="E156" s="485" t="s">
        <v>255</v>
      </c>
      <c r="F156" s="486">
        <f>ROUNDDOWN(F138*60%,-3)</f>
        <v>91000</v>
      </c>
      <c r="G156" s="486">
        <f t="shared" ref="G156:M156" si="101">ROUNDDOWN(G138*60%,-3)</f>
        <v>118000</v>
      </c>
      <c r="H156" s="486">
        <f t="shared" si="101"/>
        <v>154000</v>
      </c>
      <c r="I156" s="486">
        <f t="shared" si="101"/>
        <v>200000</v>
      </c>
      <c r="J156" s="486">
        <f t="shared" si="101"/>
        <v>280000</v>
      </c>
      <c r="K156" s="486">
        <f t="shared" si="101"/>
        <v>392000</v>
      </c>
      <c r="L156" s="486">
        <f t="shared" si="101"/>
        <v>549000</v>
      </c>
      <c r="M156" s="486">
        <f t="shared" si="101"/>
        <v>769000</v>
      </c>
      <c r="N156" s="515" t="s">
        <v>395</v>
      </c>
    </row>
    <row r="157" spans="1:14" x14ac:dyDescent="0.25">
      <c r="A157" s="239"/>
      <c r="B157" s="227" t="s">
        <v>256</v>
      </c>
      <c r="C157" s="228"/>
      <c r="D157" s="229"/>
      <c r="E157" s="195"/>
      <c r="F157" s="196">
        <f t="shared" ref="F157:M157" si="102">SUM(F151:F156)</f>
        <v>422000</v>
      </c>
      <c r="G157" s="196">
        <f t="shared" si="102"/>
        <v>508000</v>
      </c>
      <c r="H157" s="196">
        <f t="shared" si="102"/>
        <v>622000</v>
      </c>
      <c r="I157" s="196">
        <f t="shared" si="102"/>
        <v>768000</v>
      </c>
      <c r="J157" s="196">
        <f t="shared" si="102"/>
        <v>1021000</v>
      </c>
      <c r="K157" s="196">
        <f t="shared" si="102"/>
        <v>1376000</v>
      </c>
      <c r="L157" s="196">
        <f t="shared" si="102"/>
        <v>1873000</v>
      </c>
      <c r="M157" s="196">
        <f t="shared" si="102"/>
        <v>2569000</v>
      </c>
      <c r="N157" s="144"/>
    </row>
    <row r="158" spans="1:14" x14ac:dyDescent="0.25">
      <c r="A158" s="196"/>
      <c r="B158" s="210" t="s">
        <v>399</v>
      </c>
      <c r="C158" s="211"/>
      <c r="D158" s="212"/>
      <c r="E158" s="195"/>
      <c r="F158" s="516">
        <f>F135+F148+F156</f>
        <v>1090000</v>
      </c>
      <c r="G158" s="516">
        <f t="shared" ref="G158:M158" si="103">G135+G148+G157</f>
        <v>1803000</v>
      </c>
      <c r="H158" s="516">
        <f t="shared" si="103"/>
        <v>2313000</v>
      </c>
      <c r="I158" s="516">
        <f t="shared" si="103"/>
        <v>2968000</v>
      </c>
      <c r="J158" s="516">
        <f t="shared" si="103"/>
        <v>4098000</v>
      </c>
      <c r="K158" s="516">
        <f t="shared" si="103"/>
        <v>5688000</v>
      </c>
      <c r="L158" s="516">
        <f t="shared" si="103"/>
        <v>7914000</v>
      </c>
      <c r="M158" s="516">
        <f t="shared" si="103"/>
        <v>11031000</v>
      </c>
      <c r="N158" s="144"/>
    </row>
    <row r="159" spans="1:14" x14ac:dyDescent="0.25">
      <c r="A159" s="276" t="s">
        <v>6</v>
      </c>
      <c r="B159" s="510"/>
      <c r="C159" s="510"/>
      <c r="D159" s="510"/>
      <c r="E159" s="510"/>
      <c r="F159" s="510"/>
      <c r="G159" s="510"/>
      <c r="H159" s="510"/>
      <c r="I159" s="510"/>
      <c r="J159" s="510"/>
      <c r="K159" s="276" t="s">
        <v>396</v>
      </c>
      <c r="L159" s="510"/>
      <c r="M159" s="510"/>
      <c r="N159" s="510"/>
    </row>
    <row r="160" spans="1:14" x14ac:dyDescent="0.25">
      <c r="A160" s="510"/>
      <c r="B160" s="276" t="s">
        <v>259</v>
      </c>
      <c r="C160" s="510"/>
      <c r="D160" s="510"/>
      <c r="E160" s="510"/>
      <c r="F160" s="510"/>
      <c r="G160" s="510"/>
      <c r="H160" s="510"/>
      <c r="I160" s="510"/>
      <c r="J160" s="510"/>
      <c r="K160" s="510"/>
      <c r="L160" s="510"/>
      <c r="M160" s="510"/>
      <c r="N160" s="510"/>
    </row>
    <row r="161" spans="1:14" x14ac:dyDescent="0.25">
      <c r="A161" s="510"/>
      <c r="B161" s="276" t="s">
        <v>397</v>
      </c>
      <c r="C161" s="510"/>
      <c r="D161" s="510"/>
      <c r="E161" s="510"/>
      <c r="F161" s="510"/>
      <c r="G161" s="510"/>
      <c r="H161" s="510"/>
      <c r="I161" s="510"/>
      <c r="J161" s="510"/>
      <c r="K161" s="510"/>
      <c r="L161" s="510"/>
      <c r="M161" s="510"/>
      <c r="N161" s="510"/>
    </row>
    <row r="162" spans="1:14" x14ac:dyDescent="0.25">
      <c r="A162" s="510"/>
      <c r="B162" s="276" t="s">
        <v>262</v>
      </c>
      <c r="C162" s="510"/>
      <c r="D162" s="510"/>
      <c r="E162" s="510"/>
      <c r="F162" s="510"/>
      <c r="G162" s="510"/>
      <c r="H162" s="510"/>
      <c r="I162" s="510"/>
      <c r="J162" s="510"/>
      <c r="K162" s="510"/>
      <c r="L162" s="510"/>
      <c r="M162" s="510"/>
      <c r="N162" s="510"/>
    </row>
    <row r="163" spans="1:14" x14ac:dyDescent="0.25">
      <c r="A163" s="510"/>
      <c r="B163" s="592" t="s">
        <v>398</v>
      </c>
      <c r="C163" s="592"/>
      <c r="D163" s="592"/>
      <c r="E163" s="592"/>
      <c r="F163" s="592"/>
      <c r="G163" s="592"/>
      <c r="H163" s="592"/>
      <c r="I163" s="592"/>
      <c r="J163" s="510"/>
      <c r="K163" s="510"/>
      <c r="L163" s="510"/>
      <c r="M163" s="510"/>
      <c r="N163" s="510"/>
    </row>
  </sheetData>
  <mergeCells count="19">
    <mergeCell ref="N72:N73"/>
    <mergeCell ref="B112:D112"/>
    <mergeCell ref="A5:E6"/>
    <mergeCell ref="B8:D8"/>
    <mergeCell ref="B21:D21"/>
    <mergeCell ref="B49:D49"/>
    <mergeCell ref="B52:D52"/>
    <mergeCell ref="F54:N54"/>
    <mergeCell ref="B58:D58"/>
    <mergeCell ref="B53:D53"/>
    <mergeCell ref="B50:D50"/>
    <mergeCell ref="B54:D54"/>
    <mergeCell ref="B55:D55"/>
    <mergeCell ref="B56:D56"/>
    <mergeCell ref="A126:E127"/>
    <mergeCell ref="B163:I163"/>
    <mergeCell ref="B60:D60"/>
    <mergeCell ref="J71:K71"/>
    <mergeCell ref="A72:E73"/>
  </mergeCells>
  <phoneticPr fontId="51" type="noConversion"/>
  <pageMargins left="0.23622047244094491" right="0.23622047244094491" top="0.74803149606299213" bottom="0.74803149606299213" header="0.31496062992125984" footer="0.31496062992125984"/>
  <pageSetup paperSize="9" scale="77" fitToWidth="0"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view="pageBreakPreview" topLeftCell="A42" zoomScale="98" zoomScaleNormal="100" zoomScaleSheetLayoutView="98" workbookViewId="0">
      <selection activeCell="L76" sqref="L76"/>
    </sheetView>
  </sheetViews>
  <sheetFormatPr defaultColWidth="9.140625" defaultRowHeight="15.75" x14ac:dyDescent="0.25"/>
  <cols>
    <col min="1" max="1" width="27.7109375" style="254" customWidth="1"/>
    <col min="2" max="4" width="10.85546875" style="254" customWidth="1"/>
    <col min="5" max="6" width="11.42578125" style="254" customWidth="1"/>
    <col min="7" max="7" width="10.85546875" style="254" customWidth="1"/>
    <col min="8" max="11" width="10.42578125" style="254" customWidth="1"/>
    <col min="12" max="12" width="7.85546875" style="254" customWidth="1"/>
    <col min="13" max="16384" width="9.140625" style="254"/>
  </cols>
  <sheetData>
    <row r="1" spans="1:10" s="252" customFormat="1" x14ac:dyDescent="0.25">
      <c r="B1" s="252" t="s">
        <v>288</v>
      </c>
      <c r="D1" s="253"/>
      <c r="E1" s="253"/>
    </row>
    <row r="2" spans="1:10" s="252" customFormat="1" x14ac:dyDescent="0.25">
      <c r="A2" s="252" t="s">
        <v>289</v>
      </c>
      <c r="D2" s="253"/>
      <c r="E2" s="253"/>
    </row>
    <row r="3" spans="1:10" x14ac:dyDescent="0.25">
      <c r="C3" s="252"/>
    </row>
    <row r="4" spans="1:10" s="252" customFormat="1" x14ac:dyDescent="0.25">
      <c r="A4" s="252" t="s">
        <v>304</v>
      </c>
    </row>
    <row r="5" spans="1:10" s="252" customFormat="1" x14ac:dyDescent="0.25">
      <c r="G5" s="252" t="s">
        <v>179</v>
      </c>
      <c r="I5" s="308">
        <v>234000</v>
      </c>
      <c r="J5" s="252" t="s">
        <v>135</v>
      </c>
    </row>
    <row r="6" spans="1:10" s="252" customFormat="1" x14ac:dyDescent="0.25">
      <c r="G6" s="252" t="s">
        <v>144</v>
      </c>
      <c r="J6" s="255"/>
    </row>
    <row r="7" spans="1:10" s="252" customFormat="1" x14ac:dyDescent="0.25">
      <c r="A7" s="627" t="s">
        <v>0</v>
      </c>
      <c r="B7" s="256" t="s">
        <v>1</v>
      </c>
      <c r="C7" s="256" t="s">
        <v>2</v>
      </c>
      <c r="D7" s="256" t="s">
        <v>3</v>
      </c>
      <c r="E7" s="256" t="s">
        <v>4</v>
      </c>
      <c r="F7" s="256" t="s">
        <v>5</v>
      </c>
      <c r="G7" s="256" t="s">
        <v>125</v>
      </c>
      <c r="H7" s="256" t="s">
        <v>126</v>
      </c>
      <c r="I7" s="257" t="s">
        <v>6</v>
      </c>
    </row>
    <row r="8" spans="1:10" s="252" customFormat="1" x14ac:dyDescent="0.25">
      <c r="A8" s="628"/>
      <c r="B8" s="462">
        <v>1.3</v>
      </c>
      <c r="C8" s="309">
        <f>B8*1.65</f>
        <v>2.145</v>
      </c>
      <c r="D8" s="309">
        <f t="shared" ref="D8:F8" si="0">C8*1.65</f>
        <v>3.53925</v>
      </c>
      <c r="E8" s="309">
        <f t="shared" si="0"/>
        <v>5.8397625</v>
      </c>
      <c r="F8" s="309">
        <f t="shared" si="0"/>
        <v>9.6356081249999992</v>
      </c>
      <c r="G8" s="309">
        <f>F8*1.3</f>
        <v>12.5262905625</v>
      </c>
      <c r="H8" s="309">
        <f>G8*1.3</f>
        <v>16.284177731250001</v>
      </c>
      <c r="I8" s="257"/>
    </row>
    <row r="9" spans="1:10" s="252" customFormat="1" hidden="1" x14ac:dyDescent="0.25">
      <c r="A9" s="260"/>
      <c r="B9" s="261">
        <v>1.5</v>
      </c>
      <c r="C9" s="261">
        <v>2.5</v>
      </c>
      <c r="D9" s="261">
        <v>4</v>
      </c>
      <c r="E9" s="261">
        <v>7</v>
      </c>
      <c r="F9" s="261">
        <v>10.199999999999999</v>
      </c>
      <c r="G9" s="261">
        <v>12</v>
      </c>
      <c r="H9" s="261">
        <v>13.8</v>
      </c>
      <c r="I9" s="262"/>
    </row>
    <row r="10" spans="1:10" s="252" customFormat="1" hidden="1" x14ac:dyDescent="0.25">
      <c r="A10" s="260"/>
      <c r="B10" s="263">
        <f t="shared" ref="B10:G10" si="1">149000*B9</f>
        <v>223500</v>
      </c>
      <c r="C10" s="263">
        <f t="shared" si="1"/>
        <v>372500</v>
      </c>
      <c r="D10" s="263">
        <f t="shared" si="1"/>
        <v>596000</v>
      </c>
      <c r="E10" s="263">
        <f t="shared" si="1"/>
        <v>1043000</v>
      </c>
      <c r="F10" s="263">
        <f t="shared" si="1"/>
        <v>1519800</v>
      </c>
      <c r="G10" s="263">
        <f t="shared" si="1"/>
        <v>1788000</v>
      </c>
      <c r="H10" s="263">
        <f>149000*H9</f>
        <v>2056200</v>
      </c>
      <c r="I10" s="264"/>
    </row>
    <row r="11" spans="1:10" s="252" customFormat="1" x14ac:dyDescent="0.25">
      <c r="A11" s="265"/>
      <c r="B11" s="263"/>
      <c r="C11" s="263"/>
      <c r="D11" s="263"/>
      <c r="E11" s="263"/>
      <c r="F11" s="263"/>
      <c r="G11" s="263"/>
      <c r="H11" s="263"/>
      <c r="I11" s="264"/>
    </row>
    <row r="12" spans="1:10" x14ac:dyDescent="0.25">
      <c r="A12" s="266" t="s">
        <v>290</v>
      </c>
      <c r="B12" s="267">
        <f>ROUNDDOWN(B16*90%,-3)</f>
        <v>273000</v>
      </c>
      <c r="C12" s="267">
        <f t="shared" ref="C12:H12" si="2">ROUNDDOWN(C16*90%,-3)</f>
        <v>451000</v>
      </c>
      <c r="D12" s="267">
        <f t="shared" si="2"/>
        <v>745000</v>
      </c>
      <c r="E12" s="267">
        <f t="shared" si="2"/>
        <v>1229000</v>
      </c>
      <c r="F12" s="267">
        <f t="shared" si="2"/>
        <v>2029000</v>
      </c>
      <c r="G12" s="267">
        <f t="shared" si="2"/>
        <v>2638000</v>
      </c>
      <c r="H12" s="267">
        <f t="shared" si="2"/>
        <v>3429000</v>
      </c>
      <c r="I12" s="268">
        <v>0.9</v>
      </c>
    </row>
    <row r="13" spans="1:10" x14ac:dyDescent="0.25">
      <c r="A13" s="266" t="s">
        <v>291</v>
      </c>
      <c r="B13" s="267"/>
      <c r="C13" s="267"/>
      <c r="D13" s="267"/>
      <c r="E13" s="267"/>
      <c r="F13" s="267"/>
      <c r="G13" s="267"/>
      <c r="H13" s="267"/>
      <c r="I13" s="268"/>
    </row>
    <row r="14" spans="1:10" x14ac:dyDescent="0.25">
      <c r="A14" s="266" t="s">
        <v>292</v>
      </c>
      <c r="B14" s="267"/>
      <c r="C14" s="267"/>
      <c r="D14" s="267"/>
      <c r="E14" s="267"/>
      <c r="F14" s="267"/>
      <c r="G14" s="267"/>
      <c r="H14" s="267"/>
      <c r="I14" s="268"/>
    </row>
    <row r="15" spans="1:10" x14ac:dyDescent="0.25">
      <c r="A15" s="266" t="s">
        <v>293</v>
      </c>
      <c r="B15" s="267">
        <f>ROUNDDOWN(B16*10%,-3)</f>
        <v>30000</v>
      </c>
      <c r="C15" s="267">
        <f t="shared" ref="C15:H15" si="3">ROUNDDOWN(C16*10%,-3)</f>
        <v>50000</v>
      </c>
      <c r="D15" s="267">
        <f t="shared" si="3"/>
        <v>82000</v>
      </c>
      <c r="E15" s="267">
        <f t="shared" si="3"/>
        <v>136000</v>
      </c>
      <c r="F15" s="267">
        <f t="shared" si="3"/>
        <v>225000</v>
      </c>
      <c r="G15" s="267">
        <f t="shared" si="3"/>
        <v>293000</v>
      </c>
      <c r="H15" s="267">
        <f t="shared" si="3"/>
        <v>381000</v>
      </c>
      <c r="I15" s="268">
        <v>0.1</v>
      </c>
    </row>
    <row r="16" spans="1:10" s="252" customFormat="1" ht="21" customHeight="1" x14ac:dyDescent="0.25">
      <c r="A16" s="269" t="s">
        <v>17</v>
      </c>
      <c r="B16" s="270">
        <f>B8*$I$5</f>
        <v>304200</v>
      </c>
      <c r="C16" s="270">
        <f t="shared" ref="C16:H16" si="4">C8*$I$5</f>
        <v>501930</v>
      </c>
      <c r="D16" s="270">
        <f t="shared" si="4"/>
        <v>828184.5</v>
      </c>
      <c r="E16" s="270">
        <f t="shared" si="4"/>
        <v>1366504.425</v>
      </c>
      <c r="F16" s="270">
        <f t="shared" si="4"/>
        <v>2254732.30125</v>
      </c>
      <c r="G16" s="270">
        <f t="shared" si="4"/>
        <v>2931151.9916249998</v>
      </c>
      <c r="H16" s="270">
        <f t="shared" si="4"/>
        <v>3810497.5891125002</v>
      </c>
      <c r="I16" s="259"/>
    </row>
    <row r="17" spans="1:14" s="252" customFormat="1" x14ac:dyDescent="0.25">
      <c r="A17" s="174"/>
      <c r="B17" s="271"/>
      <c r="C17" s="271"/>
      <c r="D17" s="271"/>
      <c r="E17" s="271"/>
      <c r="F17" s="271"/>
      <c r="G17" s="271"/>
      <c r="H17" s="271"/>
      <c r="I17" s="272"/>
      <c r="J17" s="258"/>
    </row>
    <row r="18" spans="1:14" s="276" customFormat="1" x14ac:dyDescent="0.25">
      <c r="A18" s="273" t="s">
        <v>294</v>
      </c>
      <c r="B18" s="274"/>
      <c r="C18" s="274"/>
      <c r="D18" s="274"/>
      <c r="E18" s="274"/>
      <c r="F18" s="274"/>
      <c r="G18" s="274"/>
      <c r="H18" s="274"/>
      <c r="I18" s="275"/>
    </row>
    <row r="19" spans="1:14" s="252" customFormat="1" x14ac:dyDescent="0.25">
      <c r="A19" s="174"/>
      <c r="B19" s="271"/>
      <c r="C19" s="271"/>
      <c r="D19" s="271"/>
      <c r="E19" s="271"/>
      <c r="F19" s="271"/>
      <c r="G19" s="271"/>
      <c r="H19" s="271"/>
      <c r="I19" s="272"/>
    </row>
    <row r="20" spans="1:14" s="252" customFormat="1" x14ac:dyDescent="0.25">
      <c r="A20" s="277" t="s">
        <v>295</v>
      </c>
      <c r="B20" s="271"/>
      <c r="D20" s="271"/>
      <c r="E20" s="271"/>
      <c r="F20" s="271"/>
      <c r="G20" s="271"/>
      <c r="I20" s="272"/>
    </row>
    <row r="21" spans="1:14" s="252" customFormat="1" x14ac:dyDescent="0.25">
      <c r="A21" s="278"/>
      <c r="B21" s="271"/>
      <c r="D21" s="271"/>
      <c r="E21" s="271"/>
      <c r="F21" s="271"/>
      <c r="G21" s="252" t="s">
        <v>179</v>
      </c>
      <c r="I21" s="280">
        <v>234000</v>
      </c>
    </row>
    <row r="22" spans="1:14" s="252" customFormat="1" x14ac:dyDescent="0.25">
      <c r="A22" s="278"/>
      <c r="B22" s="271"/>
      <c r="C22" s="271"/>
      <c r="D22" s="271"/>
      <c r="G22" s="252" t="s">
        <v>144</v>
      </c>
      <c r="H22" s="271"/>
      <c r="I22" s="272"/>
      <c r="J22" s="255"/>
    </row>
    <row r="23" spans="1:14" s="252" customFormat="1" x14ac:dyDescent="0.25">
      <c r="A23" s="627" t="s">
        <v>0</v>
      </c>
      <c r="B23" s="256" t="s">
        <v>1</v>
      </c>
      <c r="C23" s="256" t="s">
        <v>2</v>
      </c>
      <c r="D23" s="256" t="s">
        <v>3</v>
      </c>
      <c r="E23" s="256" t="s">
        <v>4</v>
      </c>
      <c r="F23" s="256" t="s">
        <v>5</v>
      </c>
      <c r="G23" s="256" t="s">
        <v>125</v>
      </c>
      <c r="H23" s="629" t="s">
        <v>6</v>
      </c>
      <c r="I23" s="253"/>
      <c r="J23" s="258"/>
    </row>
    <row r="24" spans="1:14" s="252" customFormat="1" x14ac:dyDescent="0.25">
      <c r="A24" s="628"/>
      <c r="B24" s="310">
        <v>3.44</v>
      </c>
      <c r="C24" s="310">
        <f>B24*1.7</f>
        <v>5.8479999999999999</v>
      </c>
      <c r="D24" s="310">
        <f t="shared" ref="D24:E24" si="5">C24*1.7</f>
        <v>9.9415999999999993</v>
      </c>
      <c r="E24" s="310">
        <f t="shared" si="5"/>
        <v>16.90072</v>
      </c>
      <c r="F24" s="310">
        <f>E24*1.3</f>
        <v>21.970936000000002</v>
      </c>
      <c r="G24" s="310">
        <f>F24*1.3</f>
        <v>28.562216800000002</v>
      </c>
      <c r="H24" s="629"/>
      <c r="I24" s="272"/>
      <c r="J24" s="258"/>
    </row>
    <row r="25" spans="1:14" s="252" customFormat="1" hidden="1" x14ac:dyDescent="0.25">
      <c r="A25" s="260"/>
      <c r="B25" s="259">
        <v>4</v>
      </c>
      <c r="C25" s="259">
        <v>7</v>
      </c>
      <c r="D25" s="259">
        <v>12</v>
      </c>
      <c r="E25" s="259">
        <v>17.899999999999999</v>
      </c>
      <c r="F25" s="259">
        <v>21</v>
      </c>
      <c r="G25" s="259">
        <v>40</v>
      </c>
      <c r="H25" s="279"/>
      <c r="J25" s="258"/>
    </row>
    <row r="26" spans="1:14" s="252" customFormat="1" hidden="1" x14ac:dyDescent="0.25">
      <c r="A26" s="260"/>
      <c r="B26" s="263">
        <f>149000*B25</f>
        <v>596000</v>
      </c>
      <c r="C26" s="263">
        <f t="shared" ref="C26:G26" si="6">149000*C25</f>
        <v>1043000</v>
      </c>
      <c r="D26" s="263">
        <f t="shared" si="6"/>
        <v>1788000</v>
      </c>
      <c r="E26" s="263">
        <f t="shared" si="6"/>
        <v>2667100</v>
      </c>
      <c r="F26" s="263">
        <f t="shared" si="6"/>
        <v>3129000</v>
      </c>
      <c r="G26" s="263">
        <f t="shared" si="6"/>
        <v>5960000</v>
      </c>
      <c r="H26" s="264"/>
      <c r="I26" s="280"/>
      <c r="J26" s="258"/>
    </row>
    <row r="27" spans="1:14" s="252" customFormat="1" x14ac:dyDescent="0.25">
      <c r="A27" s="281" t="s">
        <v>296</v>
      </c>
      <c r="B27" s="263"/>
      <c r="C27" s="263"/>
      <c r="D27" s="263"/>
      <c r="E27" s="263"/>
      <c r="F27" s="263"/>
      <c r="G27" s="263"/>
      <c r="H27" s="264"/>
      <c r="I27" s="280"/>
      <c r="J27" s="258"/>
    </row>
    <row r="28" spans="1:14" x14ac:dyDescent="0.25">
      <c r="A28" s="266" t="s">
        <v>290</v>
      </c>
      <c r="B28" s="282">
        <f>ROUNDDOWN(B32*90%,-3)</f>
        <v>724000</v>
      </c>
      <c r="C28" s="282">
        <f t="shared" ref="C28:G28" si="7">ROUNDDOWN(C32*90%,-3)</f>
        <v>1231000</v>
      </c>
      <c r="D28" s="282">
        <f t="shared" si="7"/>
        <v>2093000</v>
      </c>
      <c r="E28" s="282">
        <f t="shared" si="7"/>
        <v>3559000</v>
      </c>
      <c r="F28" s="282">
        <f t="shared" si="7"/>
        <v>4627000</v>
      </c>
      <c r="G28" s="282">
        <f t="shared" si="7"/>
        <v>6015000</v>
      </c>
      <c r="H28" s="268">
        <v>0.9</v>
      </c>
      <c r="I28" s="283"/>
      <c r="J28" s="258"/>
    </row>
    <row r="29" spans="1:14" x14ac:dyDescent="0.25">
      <c r="A29" s="266" t="s">
        <v>291</v>
      </c>
      <c r="B29" s="282"/>
      <c r="C29" s="282"/>
      <c r="D29" s="282"/>
      <c r="E29" s="282"/>
      <c r="F29" s="282"/>
      <c r="G29" s="282"/>
      <c r="H29" s="284"/>
      <c r="J29" s="258"/>
    </row>
    <row r="30" spans="1:14" x14ac:dyDescent="0.25">
      <c r="A30" s="266" t="s">
        <v>292</v>
      </c>
      <c r="B30" s="282"/>
      <c r="C30" s="282"/>
      <c r="D30" s="282"/>
      <c r="E30" s="282"/>
      <c r="F30" s="282"/>
      <c r="G30" s="282"/>
      <c r="H30" s="284"/>
      <c r="J30" s="258"/>
    </row>
    <row r="31" spans="1:14" x14ac:dyDescent="0.25">
      <c r="A31" s="266" t="s">
        <v>293</v>
      </c>
      <c r="B31" s="282">
        <f>ROUNDDOWN(B32*10%,-3)</f>
        <v>80000</v>
      </c>
      <c r="C31" s="282">
        <f t="shared" ref="C31:G31" si="8">ROUNDDOWN(C32*10%,-3)</f>
        <v>136000</v>
      </c>
      <c r="D31" s="282">
        <f t="shared" si="8"/>
        <v>232000</v>
      </c>
      <c r="E31" s="282">
        <f t="shared" si="8"/>
        <v>395000</v>
      </c>
      <c r="F31" s="282">
        <f t="shared" si="8"/>
        <v>514000</v>
      </c>
      <c r="G31" s="282">
        <f t="shared" si="8"/>
        <v>668000</v>
      </c>
      <c r="H31" s="284">
        <v>0.1</v>
      </c>
      <c r="I31" s="283"/>
      <c r="J31" s="258"/>
    </row>
    <row r="32" spans="1:14" s="255" customFormat="1" ht="23.25" customHeight="1" x14ac:dyDescent="0.25">
      <c r="A32" s="285" t="s">
        <v>17</v>
      </c>
      <c r="B32" s="286">
        <f>B24*$I$21</f>
        <v>804960</v>
      </c>
      <c r="C32" s="286">
        <f t="shared" ref="C32:G32" si="9">C24*$I$21</f>
        <v>1368432</v>
      </c>
      <c r="D32" s="286">
        <f t="shared" si="9"/>
        <v>2326334.4</v>
      </c>
      <c r="E32" s="286">
        <f t="shared" si="9"/>
        <v>3954768.48</v>
      </c>
      <c r="F32" s="286">
        <f t="shared" si="9"/>
        <v>5141199.0240000002</v>
      </c>
      <c r="G32" s="286">
        <f t="shared" si="9"/>
        <v>6683558.7312000003</v>
      </c>
      <c r="H32" s="287"/>
      <c r="I32" s="288"/>
      <c r="J32" s="258"/>
      <c r="N32" s="289"/>
    </row>
    <row r="33" spans="1:10" x14ac:dyDescent="0.25">
      <c r="A33" s="174"/>
      <c r="J33" s="258"/>
    </row>
    <row r="34" spans="1:10" x14ac:dyDescent="0.25">
      <c r="A34" s="273" t="s">
        <v>294</v>
      </c>
    </row>
    <row r="39" spans="1:10" s="252" customFormat="1" x14ac:dyDescent="0.25">
      <c r="A39" s="252" t="s">
        <v>297</v>
      </c>
      <c r="E39" s="290"/>
      <c r="F39" s="290"/>
    </row>
    <row r="40" spans="1:10" s="252" customFormat="1" x14ac:dyDescent="0.25">
      <c r="E40" s="290"/>
      <c r="F40" s="290"/>
      <c r="G40" s="252" t="s">
        <v>179</v>
      </c>
      <c r="I40" s="308">
        <v>234000</v>
      </c>
      <c r="J40" s="252" t="s">
        <v>135</v>
      </c>
    </row>
    <row r="41" spans="1:10" s="252" customFormat="1" x14ac:dyDescent="0.25">
      <c r="G41" s="252" t="s">
        <v>298</v>
      </c>
    </row>
    <row r="42" spans="1:10" s="252" customFormat="1" x14ac:dyDescent="0.25">
      <c r="A42" s="627" t="s">
        <v>0</v>
      </c>
      <c r="B42" s="256" t="s">
        <v>1</v>
      </c>
      <c r="C42" s="256" t="s">
        <v>2</v>
      </c>
      <c r="D42" s="256" t="s">
        <v>3</v>
      </c>
      <c r="E42" s="256" t="s">
        <v>4</v>
      </c>
      <c r="F42" s="256" t="s">
        <v>5</v>
      </c>
      <c r="G42" s="256" t="s">
        <v>125</v>
      </c>
      <c r="H42" s="256" t="s">
        <v>126</v>
      </c>
      <c r="I42" s="629" t="s">
        <v>6</v>
      </c>
    </row>
    <row r="43" spans="1:10" s="252" customFormat="1" ht="16.5" customHeight="1" x14ac:dyDescent="0.25">
      <c r="A43" s="628"/>
      <c r="B43" s="309">
        <f>0.35+0.35*35%</f>
        <v>0.47249999999999998</v>
      </c>
      <c r="C43" s="309">
        <f>B43*1.8</f>
        <v>0.85049999999999992</v>
      </c>
      <c r="D43" s="309">
        <f t="shared" ref="D43:E43" si="10">C43*1.8</f>
        <v>1.5308999999999999</v>
      </c>
      <c r="E43" s="309">
        <f t="shared" si="10"/>
        <v>2.75562</v>
      </c>
      <c r="F43" s="309">
        <f>E43*1.3</f>
        <v>3.582306</v>
      </c>
      <c r="G43" s="309">
        <f t="shared" ref="G43:H43" si="11">F43*1.3</f>
        <v>4.6569978000000001</v>
      </c>
      <c r="H43" s="309">
        <f t="shared" si="11"/>
        <v>6.0540971400000005</v>
      </c>
      <c r="I43" s="629"/>
    </row>
    <row r="44" spans="1:10" s="252" customFormat="1" hidden="1" x14ac:dyDescent="0.25">
      <c r="A44" s="260"/>
      <c r="B44" s="261">
        <v>0.5</v>
      </c>
      <c r="C44" s="261">
        <v>1</v>
      </c>
      <c r="D44" s="261">
        <v>2</v>
      </c>
      <c r="E44" s="261">
        <v>3</v>
      </c>
      <c r="F44" s="261">
        <v>4</v>
      </c>
      <c r="G44" s="261">
        <v>5</v>
      </c>
      <c r="H44" s="261">
        <v>6</v>
      </c>
      <c r="I44" s="262"/>
    </row>
    <row r="45" spans="1:10" s="252" customFormat="1" hidden="1" x14ac:dyDescent="0.25">
      <c r="A45" s="260"/>
      <c r="B45" s="263">
        <f>149000*B44</f>
        <v>74500</v>
      </c>
      <c r="C45" s="263">
        <f>149000*C44</f>
        <v>149000</v>
      </c>
      <c r="D45" s="263">
        <f t="shared" ref="D45:H45" si="12">149000*D44</f>
        <v>298000</v>
      </c>
      <c r="E45" s="263">
        <f t="shared" si="12"/>
        <v>447000</v>
      </c>
      <c r="F45" s="263">
        <f t="shared" si="12"/>
        <v>596000</v>
      </c>
      <c r="G45" s="263">
        <f t="shared" si="12"/>
        <v>745000</v>
      </c>
      <c r="H45" s="263">
        <f t="shared" si="12"/>
        <v>894000</v>
      </c>
      <c r="I45" s="264"/>
    </row>
    <row r="46" spans="1:10" s="252" customFormat="1" x14ac:dyDescent="0.25">
      <c r="A46" s="259" t="s">
        <v>299</v>
      </c>
      <c r="B46" s="291"/>
      <c r="C46" s="291"/>
      <c r="D46" s="291"/>
      <c r="E46" s="291"/>
      <c r="F46" s="291"/>
      <c r="G46" s="291"/>
      <c r="H46" s="291"/>
      <c r="I46" s="257"/>
    </row>
    <row r="47" spans="1:10" s="174" customFormat="1" x14ac:dyDescent="0.25">
      <c r="A47" s="552" t="s">
        <v>7</v>
      </c>
      <c r="B47" s="387">
        <f t="shared" ref="B47:H47" si="13">ROUNDDOWN(B56*$I$47,-3)</f>
        <v>21000</v>
      </c>
      <c r="C47" s="387">
        <f t="shared" si="13"/>
        <v>38000</v>
      </c>
      <c r="D47" s="387">
        <f t="shared" si="13"/>
        <v>69000</v>
      </c>
      <c r="E47" s="387">
        <f t="shared" si="13"/>
        <v>125000</v>
      </c>
      <c r="F47" s="387">
        <f t="shared" si="13"/>
        <v>163000</v>
      </c>
      <c r="G47" s="387">
        <f t="shared" si="13"/>
        <v>212000</v>
      </c>
      <c r="H47" s="387">
        <f t="shared" si="13"/>
        <v>276000</v>
      </c>
      <c r="I47" s="293">
        <f>30%-(30%*35%)</f>
        <v>0.19500000000000001</v>
      </c>
      <c r="J47" s="294"/>
    </row>
    <row r="48" spans="1:10" s="449" customFormat="1" x14ac:dyDescent="0.25">
      <c r="A48" s="553" t="s">
        <v>9</v>
      </c>
      <c r="B48" s="428">
        <f t="shared" ref="B48:H48" si="14">ROUNDDOWN(B56*$I$48,-3)</f>
        <v>14000</v>
      </c>
      <c r="C48" s="428">
        <f t="shared" si="14"/>
        <v>25000</v>
      </c>
      <c r="D48" s="428">
        <f t="shared" si="14"/>
        <v>46000</v>
      </c>
      <c r="E48" s="428">
        <f t="shared" si="14"/>
        <v>83000</v>
      </c>
      <c r="F48" s="428">
        <f t="shared" si="14"/>
        <v>108000</v>
      </c>
      <c r="G48" s="428">
        <f t="shared" si="14"/>
        <v>141000</v>
      </c>
      <c r="H48" s="428">
        <f t="shared" si="14"/>
        <v>184000</v>
      </c>
      <c r="I48" s="447">
        <f>20%-(20%*35%)</f>
        <v>0.13</v>
      </c>
      <c r="J48" s="448"/>
    </row>
    <row r="49" spans="1:14" s="174" customFormat="1" hidden="1" x14ac:dyDescent="0.25">
      <c r="A49" s="552"/>
      <c r="B49" s="387">
        <f>ROUNDDOWN(B50*$I$55,-3)</f>
        <v>1000</v>
      </c>
      <c r="C49" s="292"/>
      <c r="D49" s="292"/>
      <c r="E49" s="292"/>
      <c r="F49" s="292"/>
      <c r="G49" s="292"/>
      <c r="H49" s="292"/>
      <c r="I49" s="293"/>
      <c r="J49" s="294"/>
    </row>
    <row r="50" spans="1:14" s="174" customFormat="1" x14ac:dyDescent="0.25">
      <c r="A50" s="552" t="s">
        <v>16</v>
      </c>
      <c r="B50" s="387">
        <f t="shared" ref="B50:H50" si="15">ROUNDDOWN(B56*$I$50,-3)</f>
        <v>21000</v>
      </c>
      <c r="C50" s="387">
        <f t="shared" si="15"/>
        <v>38000</v>
      </c>
      <c r="D50" s="387">
        <f t="shared" si="15"/>
        <v>69000</v>
      </c>
      <c r="E50" s="387">
        <f t="shared" si="15"/>
        <v>125000</v>
      </c>
      <c r="F50" s="387">
        <f t="shared" si="15"/>
        <v>163000</v>
      </c>
      <c r="G50" s="387">
        <f t="shared" si="15"/>
        <v>212000</v>
      </c>
      <c r="H50" s="387">
        <f t="shared" si="15"/>
        <v>276000</v>
      </c>
      <c r="I50" s="293">
        <f>30%-(30%*35%)</f>
        <v>0.19500000000000001</v>
      </c>
      <c r="J50" s="294"/>
    </row>
    <row r="51" spans="1:14" s="174" customFormat="1" x14ac:dyDescent="0.25">
      <c r="A51" s="554" t="s">
        <v>128</v>
      </c>
      <c r="B51" s="403">
        <f>ROUNDDOWN(B56*$I$51,-3)</f>
        <v>66000</v>
      </c>
      <c r="C51" s="403">
        <f t="shared" ref="C51:H51" si="16">ROUNDDOWN(C56*$I$51,-3)</f>
        <v>119000</v>
      </c>
      <c r="D51" s="403">
        <f t="shared" si="16"/>
        <v>214000</v>
      </c>
      <c r="E51" s="403">
        <f t="shared" si="16"/>
        <v>386000</v>
      </c>
      <c r="F51" s="403">
        <f t="shared" si="16"/>
        <v>502000</v>
      </c>
      <c r="G51" s="403">
        <f t="shared" si="16"/>
        <v>653000</v>
      </c>
      <c r="H51" s="403">
        <f t="shared" si="16"/>
        <v>849000</v>
      </c>
      <c r="I51" s="463">
        <v>0.6</v>
      </c>
      <c r="J51" s="296"/>
    </row>
    <row r="52" spans="1:14" x14ac:dyDescent="0.25">
      <c r="A52" s="552" t="s">
        <v>12</v>
      </c>
      <c r="B52" s="387">
        <f>ROUNDDOWN(B56*$I$52,-3)</f>
        <v>11000</v>
      </c>
      <c r="C52" s="387">
        <f t="shared" ref="C52:H52" si="17">ROUNDDOWN(C56*$I$52,-3)</f>
        <v>19000</v>
      </c>
      <c r="D52" s="387">
        <f t="shared" si="17"/>
        <v>35000</v>
      </c>
      <c r="E52" s="387">
        <f t="shared" si="17"/>
        <v>64000</v>
      </c>
      <c r="F52" s="387">
        <f t="shared" si="17"/>
        <v>83000</v>
      </c>
      <c r="G52" s="387">
        <f t="shared" si="17"/>
        <v>108000</v>
      </c>
      <c r="H52" s="387">
        <f t="shared" si="17"/>
        <v>141000</v>
      </c>
      <c r="I52" s="295">
        <v>0.1</v>
      </c>
      <c r="J52" s="297"/>
      <c r="K52" s="271"/>
      <c r="L52" s="271"/>
      <c r="M52" s="271"/>
      <c r="N52" s="271"/>
    </row>
    <row r="53" spans="1:14" x14ac:dyDescent="0.25">
      <c r="A53" s="552" t="s">
        <v>300</v>
      </c>
      <c r="B53" s="387">
        <f>ROUNDDOWN(B56*$I$53,-3)</f>
        <v>33000</v>
      </c>
      <c r="C53" s="387">
        <f t="shared" ref="C53:H53" si="18">ROUNDDOWN(C56*$I$53,-3)</f>
        <v>59000</v>
      </c>
      <c r="D53" s="387">
        <f t="shared" si="18"/>
        <v>107000</v>
      </c>
      <c r="E53" s="387">
        <f t="shared" si="18"/>
        <v>193000</v>
      </c>
      <c r="F53" s="387">
        <f t="shared" si="18"/>
        <v>251000</v>
      </c>
      <c r="G53" s="387">
        <f t="shared" si="18"/>
        <v>326000</v>
      </c>
      <c r="H53" s="387">
        <f t="shared" si="18"/>
        <v>424000</v>
      </c>
      <c r="I53" s="295">
        <v>0.3</v>
      </c>
      <c r="J53" s="252"/>
    </row>
    <row r="54" spans="1:14" x14ac:dyDescent="0.25">
      <c r="A54" s="552" t="s">
        <v>301</v>
      </c>
      <c r="B54" s="387">
        <f>ROUNDDOWN(B56*$I$54,-3)</f>
        <v>22000</v>
      </c>
      <c r="C54" s="387">
        <f t="shared" ref="C54:H54" si="19">ROUNDDOWN(C56*$I$54,-3)</f>
        <v>39000</v>
      </c>
      <c r="D54" s="387">
        <f t="shared" si="19"/>
        <v>71000</v>
      </c>
      <c r="E54" s="387">
        <f t="shared" si="19"/>
        <v>128000</v>
      </c>
      <c r="F54" s="387">
        <f t="shared" si="19"/>
        <v>167000</v>
      </c>
      <c r="G54" s="387">
        <f t="shared" si="19"/>
        <v>217000</v>
      </c>
      <c r="H54" s="387">
        <f t="shared" si="19"/>
        <v>283000</v>
      </c>
      <c r="I54" s="295">
        <v>0.2</v>
      </c>
      <c r="J54" s="252"/>
    </row>
    <row r="55" spans="1:14" x14ac:dyDescent="0.25">
      <c r="A55" s="552" t="s">
        <v>167</v>
      </c>
      <c r="B55" s="387">
        <f>ROUNDDOWN(B56*$I$55,-3)</f>
        <v>5000</v>
      </c>
      <c r="C55" s="387">
        <f t="shared" ref="C55:H55" si="20">ROUNDDOWN(C56*$I$55,-3)</f>
        <v>9000</v>
      </c>
      <c r="D55" s="387">
        <f t="shared" si="20"/>
        <v>17000</v>
      </c>
      <c r="E55" s="387">
        <f t="shared" si="20"/>
        <v>32000</v>
      </c>
      <c r="F55" s="387">
        <f t="shared" si="20"/>
        <v>41000</v>
      </c>
      <c r="G55" s="387">
        <f t="shared" si="20"/>
        <v>54000</v>
      </c>
      <c r="H55" s="387">
        <f t="shared" si="20"/>
        <v>70000</v>
      </c>
      <c r="I55" s="295">
        <v>0.05</v>
      </c>
      <c r="J55" s="252"/>
    </row>
    <row r="56" spans="1:14" x14ac:dyDescent="0.25">
      <c r="A56" s="552" t="s">
        <v>168</v>
      </c>
      <c r="B56" s="387">
        <f t="shared" ref="B56:H56" si="21">ROUNDDOWN(B43*$I$40,-3)</f>
        <v>110000</v>
      </c>
      <c r="C56" s="387">
        <f t="shared" si="21"/>
        <v>199000</v>
      </c>
      <c r="D56" s="387">
        <f t="shared" si="21"/>
        <v>358000</v>
      </c>
      <c r="E56" s="387">
        <f t="shared" si="21"/>
        <v>644000</v>
      </c>
      <c r="F56" s="387">
        <f t="shared" si="21"/>
        <v>838000</v>
      </c>
      <c r="G56" s="387">
        <f t="shared" si="21"/>
        <v>1089000</v>
      </c>
      <c r="H56" s="387">
        <f t="shared" si="21"/>
        <v>1416000</v>
      </c>
      <c r="I56" s="295">
        <v>1</v>
      </c>
      <c r="J56" s="252"/>
    </row>
    <row r="57" spans="1:14" s="255" customFormat="1" ht="23.25" customHeight="1" x14ac:dyDescent="0.25">
      <c r="A57" s="285" t="s">
        <v>138</v>
      </c>
      <c r="B57" s="388">
        <f t="shared" ref="B57:H57" si="22">SUM(B47:B56)</f>
        <v>304000</v>
      </c>
      <c r="C57" s="388">
        <f t="shared" si="22"/>
        <v>545000</v>
      </c>
      <c r="D57" s="388">
        <f t="shared" si="22"/>
        <v>986000</v>
      </c>
      <c r="E57" s="388">
        <f t="shared" si="22"/>
        <v>1780000</v>
      </c>
      <c r="F57" s="388">
        <f t="shared" si="22"/>
        <v>2316000</v>
      </c>
      <c r="G57" s="388">
        <f t="shared" si="22"/>
        <v>3012000</v>
      </c>
      <c r="H57" s="388">
        <f t="shared" si="22"/>
        <v>3919000</v>
      </c>
      <c r="I57" s="287"/>
    </row>
    <row r="59" spans="1:14" s="298" customFormat="1" x14ac:dyDescent="0.25">
      <c r="A59" s="252" t="s">
        <v>305</v>
      </c>
      <c r="B59" s="252"/>
      <c r="D59" s="290"/>
      <c r="E59" s="290"/>
      <c r="G59" s="299"/>
      <c r="J59" s="290"/>
    </row>
    <row r="60" spans="1:14" s="298" customFormat="1" x14ac:dyDescent="0.25">
      <c r="A60" s="252"/>
      <c r="B60" s="252"/>
      <c r="D60" s="252"/>
      <c r="E60" s="252"/>
      <c r="G60" s="299"/>
      <c r="J60" s="252" t="s">
        <v>179</v>
      </c>
      <c r="L60" s="308">
        <v>234000</v>
      </c>
      <c r="M60" s="252" t="s">
        <v>135</v>
      </c>
    </row>
    <row r="61" spans="1:14" s="298" customFormat="1" x14ac:dyDescent="0.25">
      <c r="A61" s="252"/>
      <c r="B61" s="252"/>
      <c r="C61" s="252"/>
      <c r="D61" s="252"/>
      <c r="E61" s="252"/>
      <c r="G61" s="299"/>
      <c r="J61" s="252" t="s">
        <v>298</v>
      </c>
    </row>
    <row r="62" spans="1:14" s="298" customFormat="1" x14ac:dyDescent="0.25">
      <c r="A62" s="627" t="s">
        <v>0</v>
      </c>
      <c r="B62" s="256" t="s">
        <v>1</v>
      </c>
      <c r="C62" s="256" t="s">
        <v>2</v>
      </c>
      <c r="D62" s="256" t="s">
        <v>3</v>
      </c>
      <c r="E62" s="256" t="s">
        <v>4</v>
      </c>
      <c r="F62" s="256" t="s">
        <v>5</v>
      </c>
      <c r="G62" s="547" t="s">
        <v>125</v>
      </c>
      <c r="H62" s="548" t="s">
        <v>126</v>
      </c>
      <c r="I62" s="548" t="s">
        <v>127</v>
      </c>
      <c r="J62" s="548" t="s">
        <v>146</v>
      </c>
      <c r="K62" s="548" t="s">
        <v>147</v>
      </c>
      <c r="L62" s="623" t="s">
        <v>6</v>
      </c>
    </row>
    <row r="63" spans="1:14" s="298" customFormat="1" x14ac:dyDescent="0.25">
      <c r="A63" s="628"/>
      <c r="B63" s="259">
        <v>0.41</v>
      </c>
      <c r="C63" s="313">
        <f>B63*1.3</f>
        <v>0.53300000000000003</v>
      </c>
      <c r="D63" s="313">
        <f t="shared" ref="D63:F63" si="23">C63*1.3</f>
        <v>0.69290000000000007</v>
      </c>
      <c r="E63" s="313">
        <f t="shared" si="23"/>
        <v>0.90077000000000007</v>
      </c>
      <c r="F63" s="313">
        <f t="shared" si="23"/>
        <v>1.1710010000000002</v>
      </c>
      <c r="G63" s="313">
        <f>F63*1.4</f>
        <v>1.6394014000000001</v>
      </c>
      <c r="H63" s="313">
        <f t="shared" ref="H63:K63" si="24">G63*1.4</f>
        <v>2.2951619600000002</v>
      </c>
      <c r="I63" s="313">
        <f t="shared" si="24"/>
        <v>3.213226744</v>
      </c>
      <c r="J63" s="313">
        <f t="shared" si="24"/>
        <v>4.4985174415999998</v>
      </c>
      <c r="K63" s="313">
        <f t="shared" si="24"/>
        <v>6.2979244182399992</v>
      </c>
      <c r="L63" s="623"/>
    </row>
    <row r="64" spans="1:14" s="298" customFormat="1" hidden="1" x14ac:dyDescent="0.25">
      <c r="A64" s="260"/>
      <c r="B64" s="261">
        <v>0.5</v>
      </c>
      <c r="C64" s="261">
        <v>0.6</v>
      </c>
      <c r="D64" s="261">
        <v>0.7</v>
      </c>
      <c r="E64" s="261">
        <v>0.8</v>
      </c>
      <c r="F64" s="261">
        <v>0.9</v>
      </c>
      <c r="G64" s="300">
        <v>1.2</v>
      </c>
      <c r="H64" s="261">
        <v>1.6</v>
      </c>
      <c r="I64" s="261">
        <v>1.9</v>
      </c>
      <c r="J64" s="261">
        <v>2.2999999999999998</v>
      </c>
      <c r="K64" s="261">
        <v>2.6</v>
      </c>
      <c r="L64" s="262"/>
    </row>
    <row r="65" spans="1:13" s="298" customFormat="1" hidden="1" x14ac:dyDescent="0.25">
      <c r="A65" s="260"/>
      <c r="B65" s="263">
        <v>74000</v>
      </c>
      <c r="C65" s="263">
        <v>89000</v>
      </c>
      <c r="D65" s="263">
        <v>104000</v>
      </c>
      <c r="E65" s="263">
        <v>119000</v>
      </c>
      <c r="F65" s="263">
        <v>134000</v>
      </c>
      <c r="G65" s="301">
        <v>184000</v>
      </c>
      <c r="H65" s="263">
        <f>G65+50000</f>
        <v>234000</v>
      </c>
      <c r="I65" s="263">
        <f>H65+50000</f>
        <v>284000</v>
      </c>
      <c r="J65" s="263">
        <f t="shared" ref="J65:K65" si="25">I65+50000</f>
        <v>334000</v>
      </c>
      <c r="K65" s="263">
        <f t="shared" si="25"/>
        <v>384000</v>
      </c>
      <c r="L65" s="264"/>
    </row>
    <row r="66" spans="1:13" s="298" customFormat="1" hidden="1" x14ac:dyDescent="0.25">
      <c r="A66" s="260"/>
      <c r="B66" s="624"/>
      <c r="C66" s="625"/>
      <c r="D66" s="625"/>
      <c r="E66" s="625"/>
      <c r="F66" s="625"/>
      <c r="G66" s="626"/>
      <c r="H66" s="263"/>
      <c r="I66" s="263"/>
      <c r="J66" s="263"/>
      <c r="K66" s="263"/>
      <c r="L66" s="264"/>
    </row>
    <row r="67" spans="1:13" s="298" customFormat="1" x14ac:dyDescent="0.25">
      <c r="A67" s="129" t="s">
        <v>302</v>
      </c>
      <c r="B67" s="302"/>
      <c r="C67" s="302"/>
      <c r="D67" s="302"/>
      <c r="E67" s="302"/>
      <c r="F67" s="302"/>
      <c r="G67" s="303"/>
      <c r="H67" s="302"/>
      <c r="I67" s="302"/>
      <c r="J67" s="302"/>
      <c r="K67" s="302"/>
      <c r="L67" s="261"/>
      <c r="M67" s="304"/>
    </row>
    <row r="68" spans="1:13" s="306" customFormat="1" x14ac:dyDescent="0.25">
      <c r="A68" s="379" t="s">
        <v>7</v>
      </c>
      <c r="B68" s="387">
        <f t="shared" ref="B68:K68" si="26">ROUNDDOWN(B70*$L$68,-3)</f>
        <v>18000</v>
      </c>
      <c r="C68" s="387">
        <f t="shared" si="26"/>
        <v>24000</v>
      </c>
      <c r="D68" s="387">
        <f t="shared" si="26"/>
        <v>31000</v>
      </c>
      <c r="E68" s="387">
        <f t="shared" si="26"/>
        <v>40000</v>
      </c>
      <c r="F68" s="387">
        <f t="shared" si="26"/>
        <v>53000</v>
      </c>
      <c r="G68" s="387">
        <f t="shared" si="26"/>
        <v>74000</v>
      </c>
      <c r="H68" s="387">
        <f t="shared" si="26"/>
        <v>104000</v>
      </c>
      <c r="I68" s="387">
        <f t="shared" si="26"/>
        <v>146000</v>
      </c>
      <c r="J68" s="387">
        <f t="shared" si="26"/>
        <v>205000</v>
      </c>
      <c r="K68" s="387">
        <f t="shared" si="26"/>
        <v>287000</v>
      </c>
      <c r="L68" s="311">
        <f>30%-(30%*35%)</f>
        <v>0.19500000000000001</v>
      </c>
      <c r="M68" s="305" t="e">
        <f>K68+K69+#REF!+K75</f>
        <v>#REF!</v>
      </c>
    </row>
    <row r="69" spans="1:13" s="306" customFormat="1" x14ac:dyDescent="0.25">
      <c r="A69" s="379" t="s">
        <v>9</v>
      </c>
      <c r="B69" s="387">
        <f t="shared" ref="B69:K69" si="27">ROUNDDOWN(B70*$L$69,-3)</f>
        <v>12000</v>
      </c>
      <c r="C69" s="387">
        <f t="shared" si="27"/>
        <v>16000</v>
      </c>
      <c r="D69" s="387">
        <f t="shared" si="27"/>
        <v>21000</v>
      </c>
      <c r="E69" s="387">
        <f t="shared" si="27"/>
        <v>27000</v>
      </c>
      <c r="F69" s="387">
        <f t="shared" si="27"/>
        <v>35000</v>
      </c>
      <c r="G69" s="387">
        <f t="shared" si="27"/>
        <v>49000</v>
      </c>
      <c r="H69" s="387">
        <f t="shared" si="27"/>
        <v>69000</v>
      </c>
      <c r="I69" s="387">
        <f t="shared" si="27"/>
        <v>97000</v>
      </c>
      <c r="J69" s="387">
        <f t="shared" si="27"/>
        <v>136000</v>
      </c>
      <c r="K69" s="387">
        <f t="shared" si="27"/>
        <v>191000</v>
      </c>
      <c r="L69" s="311">
        <f>20%-(20%*35%)</f>
        <v>0.13</v>
      </c>
      <c r="M69" s="304" t="e">
        <f>M68/K76</f>
        <v>#REF!</v>
      </c>
    </row>
    <row r="70" spans="1:13" s="306" customFormat="1" x14ac:dyDescent="0.25">
      <c r="A70" s="379" t="s">
        <v>303</v>
      </c>
      <c r="B70" s="387">
        <f t="shared" ref="B70:K70" si="28">ROUNDDOWN(B63*$L$60,-3)</f>
        <v>95000</v>
      </c>
      <c r="C70" s="387">
        <f t="shared" si="28"/>
        <v>124000</v>
      </c>
      <c r="D70" s="387">
        <f t="shared" si="28"/>
        <v>162000</v>
      </c>
      <c r="E70" s="387">
        <f t="shared" si="28"/>
        <v>210000</v>
      </c>
      <c r="F70" s="387">
        <f t="shared" si="28"/>
        <v>274000</v>
      </c>
      <c r="G70" s="387">
        <f t="shared" si="28"/>
        <v>383000</v>
      </c>
      <c r="H70" s="387">
        <f t="shared" si="28"/>
        <v>537000</v>
      </c>
      <c r="I70" s="387">
        <f t="shared" si="28"/>
        <v>751000</v>
      </c>
      <c r="J70" s="387">
        <f t="shared" si="28"/>
        <v>1052000</v>
      </c>
      <c r="K70" s="387">
        <f t="shared" si="28"/>
        <v>1473000</v>
      </c>
      <c r="L70" s="312">
        <v>1</v>
      </c>
      <c r="M70" s="304"/>
    </row>
    <row r="71" spans="1:13" s="306" customFormat="1" x14ac:dyDescent="0.25">
      <c r="A71" s="379" t="s">
        <v>162</v>
      </c>
      <c r="B71" s="387">
        <f>ROUNDDOWN(B70*$L$71,-3)</f>
        <v>66000</v>
      </c>
      <c r="C71" s="387">
        <f t="shared" ref="C71:K71" si="29">ROUNDDOWN(C70*$L$71,-3)</f>
        <v>86000</v>
      </c>
      <c r="D71" s="387">
        <f t="shared" si="29"/>
        <v>113000</v>
      </c>
      <c r="E71" s="387">
        <f t="shared" si="29"/>
        <v>147000</v>
      </c>
      <c r="F71" s="387">
        <f t="shared" si="29"/>
        <v>191000</v>
      </c>
      <c r="G71" s="387">
        <f t="shared" si="29"/>
        <v>268000</v>
      </c>
      <c r="H71" s="387">
        <f t="shared" si="29"/>
        <v>375000</v>
      </c>
      <c r="I71" s="387">
        <f t="shared" si="29"/>
        <v>525000</v>
      </c>
      <c r="J71" s="387">
        <f t="shared" si="29"/>
        <v>736000</v>
      </c>
      <c r="K71" s="387">
        <f t="shared" si="29"/>
        <v>1031000</v>
      </c>
      <c r="L71" s="311">
        <v>0.7</v>
      </c>
      <c r="M71" s="305" t="e">
        <f>K68+K69+#REF!+K75+#REF!+#REF!</f>
        <v>#REF!</v>
      </c>
    </row>
    <row r="72" spans="1:13" s="306" customFormat="1" x14ac:dyDescent="0.25">
      <c r="A72" s="379" t="s">
        <v>26</v>
      </c>
      <c r="B72" s="387">
        <f>ROUNDDOWN(B70*$L$72,-3)</f>
        <v>9000</v>
      </c>
      <c r="C72" s="387">
        <f t="shared" ref="C72:K72" si="30">ROUNDDOWN(C70*$L$72,-3)</f>
        <v>12000</v>
      </c>
      <c r="D72" s="387">
        <f t="shared" si="30"/>
        <v>16000</v>
      </c>
      <c r="E72" s="387">
        <f t="shared" si="30"/>
        <v>21000</v>
      </c>
      <c r="F72" s="387">
        <f t="shared" si="30"/>
        <v>27000</v>
      </c>
      <c r="G72" s="387">
        <f t="shared" si="30"/>
        <v>38000</v>
      </c>
      <c r="H72" s="387">
        <f t="shared" si="30"/>
        <v>53000</v>
      </c>
      <c r="I72" s="387">
        <f t="shared" si="30"/>
        <v>75000</v>
      </c>
      <c r="J72" s="387">
        <f t="shared" si="30"/>
        <v>105000</v>
      </c>
      <c r="K72" s="387">
        <f t="shared" si="30"/>
        <v>147000</v>
      </c>
      <c r="L72" s="311">
        <v>0.1</v>
      </c>
      <c r="M72" s="304"/>
    </row>
    <row r="73" spans="1:13" s="306" customFormat="1" x14ac:dyDescent="0.25">
      <c r="A73" s="379" t="s">
        <v>300</v>
      </c>
      <c r="B73" s="387">
        <f>ROUNDDOWN(B70*$L$73,-3)</f>
        <v>14000</v>
      </c>
      <c r="C73" s="387">
        <f t="shared" ref="C73:K73" si="31">ROUNDDOWN(C70*$L$73,-3)</f>
        <v>18000</v>
      </c>
      <c r="D73" s="387">
        <f t="shared" si="31"/>
        <v>24000</v>
      </c>
      <c r="E73" s="387">
        <f t="shared" si="31"/>
        <v>31000</v>
      </c>
      <c r="F73" s="387">
        <f t="shared" si="31"/>
        <v>41000</v>
      </c>
      <c r="G73" s="387">
        <f t="shared" si="31"/>
        <v>57000</v>
      </c>
      <c r="H73" s="387">
        <f t="shared" si="31"/>
        <v>80000</v>
      </c>
      <c r="I73" s="387">
        <f t="shared" si="31"/>
        <v>112000</v>
      </c>
      <c r="J73" s="387">
        <f t="shared" si="31"/>
        <v>157000</v>
      </c>
      <c r="K73" s="387">
        <f t="shared" si="31"/>
        <v>220000</v>
      </c>
      <c r="L73" s="311">
        <v>0.15</v>
      </c>
      <c r="M73" s="304"/>
    </row>
    <row r="74" spans="1:13" s="306" customFormat="1" x14ac:dyDescent="0.25">
      <c r="A74" s="379" t="s">
        <v>128</v>
      </c>
      <c r="B74" s="387">
        <f>ROUNDDOWN(B70*$L$74,-3)</f>
        <v>47000</v>
      </c>
      <c r="C74" s="387">
        <f t="shared" ref="C74:K74" si="32">ROUNDDOWN(C70*$L$74,-3)</f>
        <v>62000</v>
      </c>
      <c r="D74" s="387">
        <f t="shared" si="32"/>
        <v>81000</v>
      </c>
      <c r="E74" s="387">
        <f t="shared" si="32"/>
        <v>105000</v>
      </c>
      <c r="F74" s="387">
        <f t="shared" si="32"/>
        <v>137000</v>
      </c>
      <c r="G74" s="387">
        <f t="shared" si="32"/>
        <v>191000</v>
      </c>
      <c r="H74" s="387">
        <f t="shared" si="32"/>
        <v>268000</v>
      </c>
      <c r="I74" s="387">
        <f t="shared" si="32"/>
        <v>375000</v>
      </c>
      <c r="J74" s="387">
        <f t="shared" si="32"/>
        <v>526000</v>
      </c>
      <c r="K74" s="387">
        <f t="shared" si="32"/>
        <v>736000</v>
      </c>
      <c r="L74" s="311">
        <v>0.5</v>
      </c>
      <c r="M74" s="298"/>
    </row>
    <row r="75" spans="1:13" s="306" customFormat="1" x14ac:dyDescent="0.25">
      <c r="A75" s="379" t="s">
        <v>16</v>
      </c>
      <c r="B75" s="387">
        <f>ROUNDDOWN(B70*$L$75,-3)</f>
        <v>18000</v>
      </c>
      <c r="C75" s="387">
        <f t="shared" ref="C75:K75" si="33">ROUNDDOWN(C70*$L$75,-3)</f>
        <v>24000</v>
      </c>
      <c r="D75" s="387">
        <f t="shared" si="33"/>
        <v>31000</v>
      </c>
      <c r="E75" s="387">
        <f t="shared" si="33"/>
        <v>40000</v>
      </c>
      <c r="F75" s="387">
        <f t="shared" si="33"/>
        <v>53000</v>
      </c>
      <c r="G75" s="387">
        <f t="shared" si="33"/>
        <v>74000</v>
      </c>
      <c r="H75" s="387">
        <f t="shared" si="33"/>
        <v>104000</v>
      </c>
      <c r="I75" s="387">
        <f t="shared" si="33"/>
        <v>146000</v>
      </c>
      <c r="J75" s="387">
        <f t="shared" si="33"/>
        <v>205000</v>
      </c>
      <c r="K75" s="387">
        <f t="shared" si="33"/>
        <v>287000</v>
      </c>
      <c r="L75" s="311">
        <f>30%-(30%*35%)</f>
        <v>0.19500000000000001</v>
      </c>
      <c r="M75" s="298"/>
    </row>
    <row r="76" spans="1:13" s="307" customFormat="1" ht="22.5" customHeight="1" x14ac:dyDescent="0.25">
      <c r="A76" s="285" t="s">
        <v>138</v>
      </c>
      <c r="B76" s="388">
        <f>SUM(B68:B75)</f>
        <v>279000</v>
      </c>
      <c r="C76" s="388">
        <f t="shared" ref="C76:K76" si="34">SUM(C68:C75)</f>
        <v>366000</v>
      </c>
      <c r="D76" s="388">
        <f t="shared" si="34"/>
        <v>479000</v>
      </c>
      <c r="E76" s="388">
        <f t="shared" si="34"/>
        <v>621000</v>
      </c>
      <c r="F76" s="388">
        <f t="shared" si="34"/>
        <v>811000</v>
      </c>
      <c r="G76" s="388">
        <f t="shared" si="34"/>
        <v>1134000</v>
      </c>
      <c r="H76" s="388">
        <f t="shared" si="34"/>
        <v>1590000</v>
      </c>
      <c r="I76" s="388">
        <f t="shared" si="34"/>
        <v>2227000</v>
      </c>
      <c r="J76" s="388">
        <f t="shared" si="34"/>
        <v>3122000</v>
      </c>
      <c r="K76" s="388">
        <f t="shared" si="34"/>
        <v>4372000</v>
      </c>
      <c r="L76" s="287"/>
    </row>
    <row r="77" spans="1:13" x14ac:dyDescent="0.25">
      <c r="B77" s="288"/>
      <c r="C77" s="288"/>
      <c r="D77" s="288"/>
      <c r="E77" s="288"/>
      <c r="F77" s="288"/>
      <c r="G77" s="314"/>
      <c r="H77" s="288"/>
      <c r="I77" s="288"/>
      <c r="J77" s="288"/>
      <c r="K77" s="288"/>
    </row>
  </sheetData>
  <mergeCells count="8">
    <mergeCell ref="L62:L63"/>
    <mergeCell ref="B66:G66"/>
    <mergeCell ref="A7:A8"/>
    <mergeCell ref="A23:A24"/>
    <mergeCell ref="H23:H24"/>
    <mergeCell ref="A42:A43"/>
    <mergeCell ref="I42:I43"/>
    <mergeCell ref="A62:A63"/>
  </mergeCells>
  <pageMargins left="0.11811023622047245" right="0.11811023622047245" top="0.35433070866141736" bottom="0.35433070866141736"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view="pageBreakPreview" topLeftCell="A7" zoomScale="166" zoomScaleNormal="100" zoomScaleSheetLayoutView="166" workbookViewId="0">
      <selection activeCell="F16" sqref="F16"/>
    </sheetView>
  </sheetViews>
  <sheetFormatPr defaultColWidth="8.85546875" defaultRowHeight="15" x14ac:dyDescent="0.25"/>
  <cols>
    <col min="1" max="1" width="26.42578125" customWidth="1"/>
    <col min="2" max="4" width="8.85546875" style="695" customWidth="1"/>
    <col min="5" max="8" width="9.42578125" customWidth="1"/>
    <col min="9" max="9" width="10.42578125" customWidth="1"/>
    <col min="10" max="10" width="10.85546875" customWidth="1"/>
    <col min="11" max="11" width="10.85546875" style="11" customWidth="1"/>
    <col min="12" max="12" width="10.42578125" style="11" customWidth="1"/>
    <col min="13" max="13" width="7.42578125" style="242" customWidth="1"/>
    <col min="14" max="14" width="11.42578125" bestFit="1" customWidth="1"/>
  </cols>
  <sheetData>
    <row r="1" spans="1:13" ht="16.5" x14ac:dyDescent="0.25">
      <c r="A1" s="315" t="s">
        <v>307</v>
      </c>
      <c r="B1" s="677"/>
      <c r="C1" s="677"/>
      <c r="D1" s="678"/>
      <c r="E1" s="317"/>
      <c r="F1" s="317"/>
      <c r="G1" s="317"/>
      <c r="H1" s="317"/>
      <c r="I1" s="317"/>
      <c r="J1" s="317"/>
      <c r="K1" s="664"/>
      <c r="L1" s="664"/>
    </row>
    <row r="2" spans="1:13" x14ac:dyDescent="0.25">
      <c r="A2" s="318"/>
      <c r="B2" s="679"/>
      <c r="C2" s="679"/>
      <c r="D2" s="679"/>
      <c r="E2" s="319"/>
      <c r="F2" s="319"/>
      <c r="G2" s="319"/>
      <c r="H2" s="319"/>
      <c r="I2" s="319"/>
      <c r="J2" s="320"/>
      <c r="K2" s="672"/>
      <c r="L2" s="665"/>
    </row>
    <row r="3" spans="1:13" x14ac:dyDescent="0.25">
      <c r="A3" s="321"/>
      <c r="B3" s="680"/>
      <c r="C3" s="680"/>
      <c r="D3" s="680"/>
      <c r="E3" s="321"/>
      <c r="F3" s="321"/>
      <c r="G3" s="321"/>
      <c r="H3" s="321"/>
      <c r="I3" s="322"/>
      <c r="J3" s="321" t="s">
        <v>179</v>
      </c>
      <c r="K3" s="666"/>
      <c r="L3" s="673">
        <v>234000</v>
      </c>
      <c r="M3" s="1" t="s">
        <v>135</v>
      </c>
    </row>
    <row r="4" spans="1:13" s="326" customFormat="1" ht="18" customHeight="1" x14ac:dyDescent="0.25">
      <c r="A4" s="577" t="s">
        <v>308</v>
      </c>
      <c r="B4" s="681" t="s">
        <v>1</v>
      </c>
      <c r="C4" s="681" t="s">
        <v>2</v>
      </c>
      <c r="D4" s="681" t="s">
        <v>3</v>
      </c>
      <c r="E4" s="394" t="s">
        <v>4</v>
      </c>
      <c r="F4" s="394" t="s">
        <v>5</v>
      </c>
      <c r="G4" s="394" t="s">
        <v>125</v>
      </c>
      <c r="H4" s="394" t="s">
        <v>126</v>
      </c>
      <c r="I4" s="394" t="s">
        <v>127</v>
      </c>
      <c r="J4" s="394" t="s">
        <v>146</v>
      </c>
      <c r="K4" s="451" t="s">
        <v>147</v>
      </c>
      <c r="L4" s="451" t="s">
        <v>377</v>
      </c>
      <c r="M4" s="579" t="s">
        <v>6</v>
      </c>
    </row>
    <row r="5" spans="1:13" s="326" customFormat="1" ht="18" customHeight="1" x14ac:dyDescent="0.25">
      <c r="A5" s="578"/>
      <c r="B5" s="682">
        <v>0.43</v>
      </c>
      <c r="C5" s="683">
        <f>B5*1.3</f>
        <v>0.55900000000000005</v>
      </c>
      <c r="D5" s="683">
        <f t="shared" ref="D5:F5" si="0">C5*1.3</f>
        <v>0.72670000000000012</v>
      </c>
      <c r="E5" s="450">
        <f t="shared" si="0"/>
        <v>0.94471000000000016</v>
      </c>
      <c r="F5" s="450">
        <f t="shared" si="0"/>
        <v>1.2281230000000003</v>
      </c>
      <c r="G5" s="395">
        <f>F5*1.4</f>
        <v>1.7193722000000002</v>
      </c>
      <c r="H5" s="395">
        <f t="shared" ref="H5:L5" si="1">G5*1.4</f>
        <v>2.40712108</v>
      </c>
      <c r="I5" s="395">
        <f t="shared" si="1"/>
        <v>3.3699695119999999</v>
      </c>
      <c r="J5" s="395">
        <f t="shared" si="1"/>
        <v>4.7179573167999997</v>
      </c>
      <c r="K5" s="395">
        <f t="shared" si="1"/>
        <v>6.6051402435199993</v>
      </c>
      <c r="L5" s="395">
        <f t="shared" si="1"/>
        <v>9.2471963409279976</v>
      </c>
      <c r="M5" s="580"/>
    </row>
    <row r="6" spans="1:13" ht="21" customHeight="1" x14ac:dyDescent="0.25">
      <c r="A6" s="324" t="s">
        <v>309</v>
      </c>
      <c r="B6" s="684"/>
      <c r="C6" s="684"/>
      <c r="D6" s="684"/>
      <c r="E6" s="325"/>
      <c r="F6" s="325"/>
      <c r="G6" s="325"/>
      <c r="H6" s="325"/>
      <c r="I6" s="369"/>
      <c r="J6" s="369"/>
      <c r="K6" s="674"/>
      <c r="L6" s="674"/>
      <c r="M6" s="334"/>
    </row>
    <row r="7" spans="1:13" ht="21" customHeight="1" x14ac:dyDescent="0.25">
      <c r="A7" s="329" t="s">
        <v>12</v>
      </c>
      <c r="B7" s="685">
        <f t="shared" ref="B7:L7" si="2">ROUNDDOWN(B5*$L$3,-3)</f>
        <v>100000</v>
      </c>
      <c r="C7" s="685">
        <f t="shared" si="2"/>
        <v>130000</v>
      </c>
      <c r="D7" s="685">
        <f t="shared" si="2"/>
        <v>170000</v>
      </c>
      <c r="E7" s="330">
        <f t="shared" si="2"/>
        <v>221000</v>
      </c>
      <c r="F7" s="330">
        <f t="shared" si="2"/>
        <v>287000</v>
      </c>
      <c r="G7" s="330">
        <f t="shared" si="2"/>
        <v>402000</v>
      </c>
      <c r="H7" s="330">
        <f t="shared" si="2"/>
        <v>563000</v>
      </c>
      <c r="I7" s="330">
        <f t="shared" si="2"/>
        <v>788000</v>
      </c>
      <c r="J7" s="330">
        <f t="shared" si="2"/>
        <v>1104000</v>
      </c>
      <c r="K7" s="452">
        <f t="shared" si="2"/>
        <v>1545000</v>
      </c>
      <c r="L7" s="452">
        <f t="shared" si="2"/>
        <v>2163000</v>
      </c>
      <c r="M7" s="335">
        <v>1</v>
      </c>
    </row>
    <row r="8" spans="1:13" s="326" customFormat="1" ht="21" customHeight="1" x14ac:dyDescent="0.25">
      <c r="A8" s="331" t="s">
        <v>310</v>
      </c>
      <c r="B8" s="686">
        <f>ROUNDDOWN(B7*$M$8,-3)</f>
        <v>70000</v>
      </c>
      <c r="C8" s="686">
        <f>ROUNDDOWN(C7*$M$8,-3)</f>
        <v>91000</v>
      </c>
      <c r="D8" s="686">
        <f>ROUNDDOWN(D7*$M$8,-3)</f>
        <v>119000</v>
      </c>
      <c r="E8" s="332">
        <f>ROUNDDOWN(E7*$M$8,-3)</f>
        <v>154000</v>
      </c>
      <c r="F8" s="332">
        <f t="shared" ref="F8:K8" si="3">ROUNDDOWN(F7*$M$8,-3)</f>
        <v>200000</v>
      </c>
      <c r="G8" s="332">
        <f t="shared" si="3"/>
        <v>281000</v>
      </c>
      <c r="H8" s="332">
        <f t="shared" si="3"/>
        <v>394000</v>
      </c>
      <c r="I8" s="332">
        <f t="shared" si="3"/>
        <v>551000</v>
      </c>
      <c r="J8" s="332">
        <f t="shared" si="3"/>
        <v>772000</v>
      </c>
      <c r="K8" s="453">
        <f t="shared" si="3"/>
        <v>1081000</v>
      </c>
      <c r="L8" s="453">
        <f>ROUNDDOWN(L7*$M$8,-3)</f>
        <v>1514000</v>
      </c>
      <c r="M8" s="336">
        <v>0.7</v>
      </c>
    </row>
    <row r="9" spans="1:13" s="326" customFormat="1" ht="21" customHeight="1" x14ac:dyDescent="0.25">
      <c r="A9" s="391" t="s">
        <v>138</v>
      </c>
      <c r="B9" s="687">
        <f>B7+B8</f>
        <v>170000</v>
      </c>
      <c r="C9" s="687">
        <f>C7+C8</f>
        <v>221000</v>
      </c>
      <c r="D9" s="687">
        <f>D7+D8</f>
        <v>289000</v>
      </c>
      <c r="E9" s="392">
        <f>E7+E8</f>
        <v>375000</v>
      </c>
      <c r="F9" s="392">
        <f>F7+F8</f>
        <v>487000</v>
      </c>
      <c r="G9" s="392">
        <f>G7+G8</f>
        <v>683000</v>
      </c>
      <c r="H9" s="392">
        <f>H7+H8</f>
        <v>957000</v>
      </c>
      <c r="I9" s="392">
        <f>I7+I8</f>
        <v>1339000</v>
      </c>
      <c r="J9" s="392">
        <f>J7+J8</f>
        <v>1876000</v>
      </c>
      <c r="K9" s="454">
        <f>K7+K8</f>
        <v>2626000</v>
      </c>
      <c r="L9" s="454">
        <f>L7+L8</f>
        <v>3677000</v>
      </c>
      <c r="M9" s="393"/>
    </row>
    <row r="10" spans="1:13" s="326" customFormat="1" ht="20.25" customHeight="1" x14ac:dyDescent="0.25">
      <c r="A10" s="389" t="s">
        <v>313</v>
      </c>
      <c r="B10" s="688"/>
      <c r="C10" s="688"/>
      <c r="D10" s="688"/>
      <c r="E10" s="396"/>
      <c r="F10" s="396"/>
      <c r="G10" s="396"/>
      <c r="H10" s="396"/>
      <c r="I10" s="396"/>
      <c r="J10" s="396"/>
      <c r="K10" s="667"/>
      <c r="L10" s="667"/>
      <c r="M10" s="390"/>
    </row>
    <row r="11" spans="1:13" x14ac:dyDescent="0.25">
      <c r="A11" s="327"/>
      <c r="B11" s="689"/>
      <c r="C11" s="689"/>
      <c r="D11" s="689"/>
      <c r="E11" s="328"/>
      <c r="F11" s="328"/>
      <c r="G11" s="328"/>
      <c r="H11" s="328"/>
      <c r="I11" s="328"/>
      <c r="J11" s="328"/>
      <c r="K11" s="668"/>
      <c r="L11" s="668"/>
    </row>
    <row r="12" spans="1:13" ht="15.75" x14ac:dyDescent="0.25">
      <c r="A12" s="277" t="s">
        <v>311</v>
      </c>
      <c r="B12" s="690"/>
      <c r="C12" s="678"/>
      <c r="D12" s="690"/>
      <c r="E12" s="252"/>
      <c r="F12" s="252"/>
      <c r="G12" s="252"/>
      <c r="H12" s="252"/>
      <c r="I12" s="252"/>
      <c r="J12" s="323"/>
      <c r="K12" s="675"/>
      <c r="L12" s="676"/>
    </row>
    <row r="13" spans="1:13" ht="15.75" x14ac:dyDescent="0.25">
      <c r="A13" s="277"/>
      <c r="B13" s="690"/>
      <c r="C13" s="678"/>
      <c r="D13" s="690"/>
      <c r="E13" s="252"/>
      <c r="F13" s="252"/>
      <c r="G13" s="252"/>
      <c r="H13" s="252"/>
      <c r="I13" s="252"/>
      <c r="J13" s="320"/>
      <c r="K13" s="672"/>
      <c r="L13" s="676"/>
    </row>
    <row r="14" spans="1:13" ht="15.75" x14ac:dyDescent="0.25">
      <c r="A14" s="277"/>
      <c r="B14" s="690"/>
      <c r="C14" s="678"/>
      <c r="D14" s="690"/>
      <c r="E14" s="252"/>
      <c r="F14" s="252"/>
      <c r="G14" s="252"/>
      <c r="H14" s="252"/>
      <c r="I14" s="252"/>
      <c r="J14" s="321" t="s">
        <v>179</v>
      </c>
      <c r="K14" s="666"/>
      <c r="L14" s="673">
        <v>234000</v>
      </c>
      <c r="M14" s="1" t="s">
        <v>135</v>
      </c>
    </row>
    <row r="15" spans="1:13" s="326" customFormat="1" ht="18.75" customHeight="1" x14ac:dyDescent="0.25">
      <c r="A15" s="630" t="s">
        <v>0</v>
      </c>
      <c r="B15" s="681" t="s">
        <v>1</v>
      </c>
      <c r="C15" s="681" t="s">
        <v>2</v>
      </c>
      <c r="D15" s="681" t="s">
        <v>3</v>
      </c>
      <c r="E15" s="394" t="s">
        <v>4</v>
      </c>
      <c r="F15" s="394" t="s">
        <v>5</v>
      </c>
      <c r="G15" s="394" t="s">
        <v>125</v>
      </c>
      <c r="H15" s="394" t="s">
        <v>126</v>
      </c>
      <c r="I15" s="394" t="s">
        <v>127</v>
      </c>
      <c r="J15" s="394" t="s">
        <v>146</v>
      </c>
      <c r="K15" s="451" t="s">
        <v>147</v>
      </c>
      <c r="L15" s="451" t="s">
        <v>377</v>
      </c>
      <c r="M15" s="579" t="s">
        <v>6</v>
      </c>
    </row>
    <row r="16" spans="1:13" s="326" customFormat="1" ht="18.75" customHeight="1" x14ac:dyDescent="0.25">
      <c r="A16" s="631"/>
      <c r="B16" s="683">
        <v>0.57999999999999996</v>
      </c>
      <c r="C16" s="397">
        <f>B16*1.25</f>
        <v>0.72499999999999998</v>
      </c>
      <c r="D16" s="397">
        <f t="shared" ref="D16:F16" si="4">C16*1.25</f>
        <v>0.90625</v>
      </c>
      <c r="E16" s="397">
        <f t="shared" si="4"/>
        <v>1.1328125</v>
      </c>
      <c r="F16" s="397">
        <f t="shared" si="4"/>
        <v>1.416015625</v>
      </c>
      <c r="G16" s="397">
        <f>F16*1.4</f>
        <v>1.9824218749999998</v>
      </c>
      <c r="H16" s="397">
        <f t="shared" ref="H16:J16" si="5">G16*1.4</f>
        <v>2.7753906249999996</v>
      </c>
      <c r="I16" s="397">
        <f t="shared" si="5"/>
        <v>3.8855468749999993</v>
      </c>
      <c r="J16" s="397">
        <f t="shared" si="5"/>
        <v>5.4397656249999988</v>
      </c>
      <c r="K16" s="669">
        <f>J16*1.5</f>
        <v>8.1596484374999978</v>
      </c>
      <c r="L16" s="669">
        <f>K16*1.5</f>
        <v>12.239472656249998</v>
      </c>
      <c r="M16" s="580"/>
    </row>
    <row r="17" spans="1:13" ht="21" customHeight="1" x14ac:dyDescent="0.25">
      <c r="A17" s="333" t="s">
        <v>312</v>
      </c>
      <c r="B17" s="685"/>
      <c r="C17" s="685"/>
      <c r="D17" s="685"/>
      <c r="E17" s="330"/>
      <c r="F17" s="330"/>
      <c r="G17" s="330"/>
      <c r="H17" s="330"/>
      <c r="I17" s="330"/>
      <c r="J17" s="330"/>
      <c r="K17" s="452"/>
      <c r="L17" s="452"/>
      <c r="M17" s="337"/>
    </row>
    <row r="18" spans="1:13" ht="21" customHeight="1" x14ac:dyDescent="0.25">
      <c r="A18" s="329" t="s">
        <v>12</v>
      </c>
      <c r="B18" s="685">
        <f t="shared" ref="B18:L18" si="6">ROUNDDOWN(B16*$L$14,-3)</f>
        <v>135000</v>
      </c>
      <c r="C18" s="685">
        <f t="shared" si="6"/>
        <v>169000</v>
      </c>
      <c r="D18" s="685">
        <f t="shared" si="6"/>
        <v>212000</v>
      </c>
      <c r="E18" s="330">
        <f t="shared" si="6"/>
        <v>265000</v>
      </c>
      <c r="F18" s="330">
        <f t="shared" si="6"/>
        <v>331000</v>
      </c>
      <c r="G18" s="330">
        <f t="shared" si="6"/>
        <v>463000</v>
      </c>
      <c r="H18" s="330">
        <f t="shared" si="6"/>
        <v>649000</v>
      </c>
      <c r="I18" s="330">
        <f t="shared" si="6"/>
        <v>909000</v>
      </c>
      <c r="J18" s="330">
        <f t="shared" si="6"/>
        <v>1272000</v>
      </c>
      <c r="K18" s="452">
        <f t="shared" si="6"/>
        <v>1909000</v>
      </c>
      <c r="L18" s="452">
        <f t="shared" si="6"/>
        <v>2864000</v>
      </c>
      <c r="M18" s="335">
        <v>1</v>
      </c>
    </row>
    <row r="19" spans="1:13" s="326" customFormat="1" ht="21" customHeight="1" x14ac:dyDescent="0.25">
      <c r="A19" s="331" t="s">
        <v>310</v>
      </c>
      <c r="B19" s="686">
        <f>ROUNDDOWN(B18*70%,-3)</f>
        <v>94000</v>
      </c>
      <c r="C19" s="686">
        <f t="shared" ref="C19:L19" si="7">ROUNDDOWN(C18*70%,-3)</f>
        <v>118000</v>
      </c>
      <c r="D19" s="686">
        <f t="shared" si="7"/>
        <v>148000</v>
      </c>
      <c r="E19" s="332">
        <f t="shared" si="7"/>
        <v>185000</v>
      </c>
      <c r="F19" s="332">
        <f t="shared" si="7"/>
        <v>231000</v>
      </c>
      <c r="G19" s="332">
        <f t="shared" si="7"/>
        <v>324000</v>
      </c>
      <c r="H19" s="332">
        <f t="shared" si="7"/>
        <v>454000</v>
      </c>
      <c r="I19" s="332">
        <f t="shared" si="7"/>
        <v>636000</v>
      </c>
      <c r="J19" s="332">
        <f t="shared" si="7"/>
        <v>890000</v>
      </c>
      <c r="K19" s="453">
        <f t="shared" si="7"/>
        <v>1336000</v>
      </c>
      <c r="L19" s="453">
        <f t="shared" si="7"/>
        <v>2004000</v>
      </c>
      <c r="M19" s="336">
        <v>0.7</v>
      </c>
    </row>
    <row r="20" spans="1:13" s="326" customFormat="1" ht="21" customHeight="1" x14ac:dyDescent="0.25">
      <c r="A20" s="391" t="s">
        <v>138</v>
      </c>
      <c r="B20" s="687">
        <f>B18+B19</f>
        <v>229000</v>
      </c>
      <c r="C20" s="687">
        <f t="shared" ref="C20:L20" si="8">C18+C19</f>
        <v>287000</v>
      </c>
      <c r="D20" s="687">
        <f t="shared" si="8"/>
        <v>360000</v>
      </c>
      <c r="E20" s="392">
        <f t="shared" si="8"/>
        <v>450000</v>
      </c>
      <c r="F20" s="392">
        <f t="shared" si="8"/>
        <v>562000</v>
      </c>
      <c r="G20" s="392">
        <f t="shared" si="8"/>
        <v>787000</v>
      </c>
      <c r="H20" s="392">
        <f t="shared" si="8"/>
        <v>1103000</v>
      </c>
      <c r="I20" s="392">
        <f t="shared" si="8"/>
        <v>1545000</v>
      </c>
      <c r="J20" s="392">
        <f t="shared" si="8"/>
        <v>2162000</v>
      </c>
      <c r="K20" s="454">
        <f t="shared" si="8"/>
        <v>3245000</v>
      </c>
      <c r="L20" s="454">
        <f t="shared" si="8"/>
        <v>4868000</v>
      </c>
      <c r="M20" s="393"/>
    </row>
    <row r="21" spans="1:13" s="326" customFormat="1" ht="21.75" customHeight="1" x14ac:dyDescent="0.25">
      <c r="A21" s="389" t="s">
        <v>314</v>
      </c>
      <c r="B21" s="691"/>
      <c r="C21" s="691"/>
      <c r="D21" s="691"/>
      <c r="K21" s="670"/>
      <c r="L21" s="670"/>
      <c r="M21" s="390"/>
    </row>
    <row r="23" spans="1:13" s="81" customFormat="1" ht="15.75" x14ac:dyDescent="0.25">
      <c r="B23" s="692"/>
      <c r="C23" s="692"/>
      <c r="D23" s="692"/>
      <c r="K23" s="647"/>
      <c r="L23" s="647"/>
    </row>
    <row r="24" spans="1:13" s="340" customFormat="1" ht="15.75" x14ac:dyDescent="0.25">
      <c r="B24" s="693"/>
      <c r="C24" s="693"/>
      <c r="D24" s="693"/>
      <c r="K24" s="671"/>
      <c r="L24" s="671"/>
    </row>
    <row r="25" spans="1:13" s="80" customFormat="1" ht="15.75" x14ac:dyDescent="0.25">
      <c r="B25" s="694"/>
      <c r="C25" s="694"/>
      <c r="D25" s="694"/>
      <c r="K25" s="660"/>
      <c r="L25" s="660"/>
    </row>
    <row r="26" spans="1:13" s="80" customFormat="1" ht="15.75" x14ac:dyDescent="0.25">
      <c r="B26" s="694"/>
      <c r="C26" s="694"/>
      <c r="D26" s="694"/>
      <c r="K26" s="660"/>
      <c r="L26" s="660"/>
    </row>
    <row r="27" spans="1:13" s="80" customFormat="1" ht="15.75" x14ac:dyDescent="0.25">
      <c r="B27" s="694"/>
      <c r="C27" s="694"/>
      <c r="D27" s="694"/>
      <c r="K27" s="660"/>
      <c r="L27" s="660"/>
    </row>
    <row r="28" spans="1:13" s="80" customFormat="1" ht="15.75" x14ac:dyDescent="0.25">
      <c r="B28" s="694"/>
      <c r="C28" s="694"/>
      <c r="D28" s="694"/>
      <c r="K28" s="660"/>
      <c r="L28" s="660"/>
    </row>
  </sheetData>
  <mergeCells count="4">
    <mergeCell ref="A4:A5"/>
    <mergeCell ref="A15:A16"/>
    <mergeCell ref="M4:M5"/>
    <mergeCell ref="M15:M16"/>
  </mergeCells>
  <phoneticPr fontId="51" type="noConversion"/>
  <pageMargins left="0.31496062992125984" right="0.11811023622047245" top="0.55118110236220474" bottom="0.55118110236220474"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BẢN TIN THU SẴN, KTGT</vt:lpstr>
      <vt:lpstr>TẠP CHÍ</vt:lpstr>
      <vt:lpstr>PHIM TÀI LIỆU</vt:lpstr>
      <vt:lpstr>TTS</vt:lpstr>
      <vt:lpstr>PHỤ CẤP CÔNG TÁC PHÍ</vt:lpstr>
      <vt:lpstr>BẢN TIN TRỰC TIẾP</vt:lpstr>
      <vt:lpstr>TRUYỀN HÌNH TRỰC TIẾP</vt:lpstr>
      <vt:lpstr>ĐỒ HỌA</vt:lpstr>
      <vt:lpstr>Tin, bài</vt:lpstr>
      <vt:lpstr>tiểu phẩm, phim </vt:lpstr>
      <vt:lpstr>BAREM CŨ</vt:lpstr>
      <vt:lpstr>SXCT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GoodM</dc:creator>
  <cp:lastModifiedBy>Administrator</cp:lastModifiedBy>
  <cp:lastPrinted>2024-10-29T07:47:18Z</cp:lastPrinted>
  <dcterms:created xsi:type="dcterms:W3CDTF">2023-01-30T03:18:38Z</dcterms:created>
  <dcterms:modified xsi:type="dcterms:W3CDTF">2024-11-08T04:29:01Z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2024-10-08T14:19:56Z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6b97ac95-f6cf-439d-8f41-39ab78610c8c</vt:lpwstr>
  </property>
  <property fmtid="{D5CDD505-2E9C-101B-9397-08002B2CF9AE}" pid="7" name="MSIP_Label_defa4170-0d19-0005-0004-bc88714345d2_ActionId">
    <vt:lpwstr>d132d555-d3f0-4285-983b-67342bffd4cc</vt:lpwstr>
  </property>
  <property fmtid="{D5CDD505-2E9C-101B-9397-08002B2CF9AE}" pid="8" name="MSIP_Label_defa4170-0d19-0005-0004-bc88714345d2_ContentBits">
    <vt:lpwstr>0</vt:lpwstr>
  </property>
</Properties>
</file>