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o/Documents/NHUẬN BÚT /"/>
    </mc:Choice>
  </mc:AlternateContent>
  <xr:revisionPtr revIDLastSave="0" documentId="13_ncr:1_{1A5339B7-6BB3-4849-BA00-9BCE7CBBC8CF}" xr6:coauthVersionLast="47" xr6:coauthVersionMax="47" xr10:uidLastSave="{00000000-0000-0000-0000-000000000000}"/>
  <bookViews>
    <workbookView xWindow="14600" yWindow="0" windowWidth="14200" windowHeight="18000" xr2:uid="{E8B972D0-B95E-4217-9B67-5B0625038A1B}"/>
  </bookViews>
  <sheets>
    <sheet name="BẢNG GIỜ LÀM VIỆC HC" sheetId="9" r:id="rId1"/>
    <sheet name="HC" sheetId="13" r:id="rId2"/>
    <sheet name="BẢNG TÍNH GIỜ LÀM VIỆC KTCN" sheetId="10" r:id="rId3"/>
    <sheet name="KTCN." sheetId="11" r:id="rId4"/>
    <sheet name="TTS." sheetId="15" r:id="rId5"/>
    <sheet name="BẢNG TÍNH GIỜ LÀM VIỆC TT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9" l="1"/>
  <c r="G5" i="9"/>
  <c r="F7" i="15"/>
  <c r="I7" i="15"/>
  <c r="J18" i="15"/>
  <c r="K18" i="15" s="1"/>
  <c r="L18" i="15" s="1"/>
  <c r="E18" i="15"/>
  <c r="J17" i="15"/>
  <c r="K17" i="15" s="1"/>
  <c r="L17" i="15" s="1"/>
  <c r="H17" i="15"/>
  <c r="M17" i="15" s="1"/>
  <c r="E17" i="15"/>
  <c r="J16" i="15"/>
  <c r="K16" i="15" s="1"/>
  <c r="L16" i="15" s="1"/>
  <c r="E16" i="15"/>
  <c r="H16" i="15" s="1"/>
  <c r="L9" i="15"/>
  <c r="I9" i="15"/>
  <c r="I11" i="15"/>
  <c r="I10" i="15"/>
  <c r="I4" i="15"/>
  <c r="O11" i="15"/>
  <c r="P11" i="15" s="1"/>
  <c r="O10" i="15"/>
  <c r="P10" i="15" s="1"/>
  <c r="Q10" i="15" s="1"/>
  <c r="O9" i="15"/>
  <c r="P9" i="15" s="1"/>
  <c r="Q9" i="15" s="1"/>
  <c r="O8" i="15"/>
  <c r="P8" i="15" s="1"/>
  <c r="Q8" i="15" s="1"/>
  <c r="Q7" i="15"/>
  <c r="P7" i="15"/>
  <c r="O7" i="15"/>
  <c r="O6" i="15"/>
  <c r="P6" i="15" s="1"/>
  <c r="Q6" i="15" s="1"/>
  <c r="P5" i="15"/>
  <c r="Q5" i="15" s="1"/>
  <c r="O5" i="15"/>
  <c r="O4" i="15"/>
  <c r="P4" i="15" s="1"/>
  <c r="Q4" i="15" s="1"/>
  <c r="C11" i="15"/>
  <c r="F11" i="15" s="1"/>
  <c r="C10" i="15"/>
  <c r="L10" i="15" s="1"/>
  <c r="F9" i="15"/>
  <c r="C9" i="15"/>
  <c r="C8" i="15"/>
  <c r="I8" i="15" s="1"/>
  <c r="C7" i="15"/>
  <c r="L7" i="15" s="1"/>
  <c r="C6" i="15"/>
  <c r="L6" i="15" s="1"/>
  <c r="C5" i="15"/>
  <c r="L5" i="15" s="1"/>
  <c r="C4" i="15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5" i="10"/>
  <c r="H12" i="14"/>
  <c r="H11" i="14"/>
  <c r="H10" i="14"/>
  <c r="H9" i="14"/>
  <c r="H8" i="14"/>
  <c r="H7" i="14"/>
  <c r="H6" i="14"/>
  <c r="H5" i="14"/>
  <c r="R25" i="13"/>
  <c r="P30" i="13" s="1"/>
  <c r="M37" i="13"/>
  <c r="M31" i="13"/>
  <c r="P24" i="11"/>
  <c r="P23" i="11"/>
  <c r="M30" i="11"/>
  <c r="M25" i="11"/>
  <c r="I30" i="11"/>
  <c r="J30" i="11" s="1"/>
  <c r="G30" i="11"/>
  <c r="L30" i="11" s="1"/>
  <c r="J29" i="11"/>
  <c r="I29" i="11"/>
  <c r="G29" i="11"/>
  <c r="I28" i="11"/>
  <c r="J28" i="11" s="1"/>
  <c r="G28" i="11"/>
  <c r="I37" i="13"/>
  <c r="J37" i="13" s="1"/>
  <c r="G37" i="13"/>
  <c r="J36" i="13"/>
  <c r="I36" i="13"/>
  <c r="G36" i="13"/>
  <c r="L36" i="13" s="1"/>
  <c r="I35" i="13"/>
  <c r="J35" i="13" s="1"/>
  <c r="G35" i="13"/>
  <c r="L35" i="13" s="1"/>
  <c r="L34" i="13"/>
  <c r="I34" i="13"/>
  <c r="J34" i="13" s="1"/>
  <c r="G34" i="13"/>
  <c r="G31" i="13"/>
  <c r="I31" i="13"/>
  <c r="J31" i="13" s="1"/>
  <c r="K31" i="13" s="1"/>
  <c r="I30" i="13"/>
  <c r="J30" i="13" s="1"/>
  <c r="K30" i="13" s="1"/>
  <c r="G30" i="13"/>
  <c r="L30" i="13" s="1"/>
  <c r="K29" i="13"/>
  <c r="L29" i="13" s="1"/>
  <c r="J29" i="13"/>
  <c r="I29" i="13"/>
  <c r="G29" i="13"/>
  <c r="I28" i="13"/>
  <c r="J28" i="13" s="1"/>
  <c r="G28" i="13"/>
  <c r="M23" i="13"/>
  <c r="M24" i="13"/>
  <c r="L23" i="13"/>
  <c r="L24" i="13"/>
  <c r="C23" i="13"/>
  <c r="C24" i="13"/>
  <c r="F23" i="13"/>
  <c r="F24" i="13"/>
  <c r="G23" i="11"/>
  <c r="G24" i="11"/>
  <c r="G25" i="11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F14" i="11"/>
  <c r="F15" i="11"/>
  <c r="F16" i="11"/>
  <c r="F17" i="11"/>
  <c r="F18" i="11"/>
  <c r="F19" i="11"/>
  <c r="F13" i="11"/>
  <c r="F5" i="11"/>
  <c r="F6" i="11"/>
  <c r="F7" i="11"/>
  <c r="F8" i="11"/>
  <c r="F9" i="11"/>
  <c r="F10" i="11"/>
  <c r="F11" i="11"/>
  <c r="F12" i="11"/>
  <c r="M19" i="11"/>
  <c r="R19" i="11" s="1"/>
  <c r="I8" i="13"/>
  <c r="I16" i="13"/>
  <c r="I5" i="13"/>
  <c r="I19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5" i="11"/>
  <c r="I23" i="13"/>
  <c r="I24" i="13"/>
  <c r="L12" i="13"/>
  <c r="L13" i="13"/>
  <c r="L14" i="13"/>
  <c r="L20" i="13"/>
  <c r="L21" i="13"/>
  <c r="L22" i="13"/>
  <c r="L5" i="13"/>
  <c r="F11" i="13"/>
  <c r="F13" i="13"/>
  <c r="F19" i="13"/>
  <c r="O24" i="13"/>
  <c r="P24" i="13" s="1"/>
  <c r="Q24" i="13" s="1"/>
  <c r="O23" i="13"/>
  <c r="P23" i="13" s="1"/>
  <c r="Q23" i="13" s="1"/>
  <c r="R23" i="13" s="1"/>
  <c r="O22" i="13"/>
  <c r="P22" i="13" s="1"/>
  <c r="Q22" i="13" s="1"/>
  <c r="O21" i="13"/>
  <c r="P21" i="13" s="1"/>
  <c r="Q21" i="13" s="1"/>
  <c r="O20" i="13"/>
  <c r="P20" i="13" s="1"/>
  <c r="Q20" i="13" s="1"/>
  <c r="O19" i="13"/>
  <c r="P19" i="13" s="1"/>
  <c r="Q19" i="13" s="1"/>
  <c r="O18" i="13"/>
  <c r="P18" i="13" s="1"/>
  <c r="Q18" i="13" s="1"/>
  <c r="O17" i="13"/>
  <c r="P17" i="13" s="1"/>
  <c r="Q17" i="13" s="1"/>
  <c r="O16" i="13"/>
  <c r="P16" i="13" s="1"/>
  <c r="Q16" i="13" s="1"/>
  <c r="O15" i="13"/>
  <c r="P15" i="13" s="1"/>
  <c r="Q15" i="13" s="1"/>
  <c r="O14" i="13"/>
  <c r="P14" i="13" s="1"/>
  <c r="Q14" i="13" s="1"/>
  <c r="O13" i="13"/>
  <c r="P13" i="13" s="1"/>
  <c r="Q13" i="13" s="1"/>
  <c r="O12" i="13"/>
  <c r="P12" i="13" s="1"/>
  <c r="Q12" i="13" s="1"/>
  <c r="O11" i="13"/>
  <c r="P11" i="13" s="1"/>
  <c r="Q11" i="13" s="1"/>
  <c r="O10" i="13"/>
  <c r="P10" i="13" s="1"/>
  <c r="Q10" i="13" s="1"/>
  <c r="O9" i="13"/>
  <c r="P9" i="13" s="1"/>
  <c r="Q9" i="13" s="1"/>
  <c r="O8" i="13"/>
  <c r="P8" i="13" s="1"/>
  <c r="Q8" i="13" s="1"/>
  <c r="O7" i="13"/>
  <c r="P7" i="13" s="1"/>
  <c r="Q7" i="13" s="1"/>
  <c r="O6" i="13"/>
  <c r="P6" i="13" s="1"/>
  <c r="Q6" i="13" s="1"/>
  <c r="O5" i="13"/>
  <c r="P5" i="13" s="1"/>
  <c r="Q5" i="13" s="1"/>
  <c r="C20" i="13"/>
  <c r="I20" i="13" s="1"/>
  <c r="C21" i="13"/>
  <c r="I21" i="13" s="1"/>
  <c r="C22" i="13"/>
  <c r="F22" i="13" s="1"/>
  <c r="C19" i="13"/>
  <c r="L19" i="13" s="1"/>
  <c r="C18" i="13"/>
  <c r="F18" i="13" s="1"/>
  <c r="C17" i="13"/>
  <c r="F17" i="13" s="1"/>
  <c r="C16" i="13"/>
  <c r="L16" i="13" s="1"/>
  <c r="C15" i="13"/>
  <c r="I15" i="13" s="1"/>
  <c r="C14" i="13"/>
  <c r="F14" i="13" s="1"/>
  <c r="C13" i="13"/>
  <c r="I13" i="13" s="1"/>
  <c r="C12" i="13"/>
  <c r="I12" i="13" s="1"/>
  <c r="C11" i="13"/>
  <c r="L11" i="13" s="1"/>
  <c r="C10" i="13"/>
  <c r="L10" i="13" s="1"/>
  <c r="C9" i="13"/>
  <c r="F9" i="13" s="1"/>
  <c r="C8" i="13"/>
  <c r="L8" i="13" s="1"/>
  <c r="C7" i="13"/>
  <c r="F7" i="13" s="1"/>
  <c r="C6" i="13"/>
  <c r="F6" i="13" s="1"/>
  <c r="C5" i="13"/>
  <c r="F5" i="13" s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5" i="11"/>
  <c r="M6" i="11"/>
  <c r="M7" i="11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N19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5" i="10"/>
  <c r="M19" i="10"/>
  <c r="L6" i="10"/>
  <c r="L7" i="10"/>
  <c r="L8" i="10"/>
  <c r="L9" i="10"/>
  <c r="L10" i="10"/>
  <c r="L11" i="10"/>
  <c r="L12" i="10"/>
  <c r="O12" i="10" s="1"/>
  <c r="L13" i="10"/>
  <c r="L14" i="10"/>
  <c r="O14" i="10" s="1"/>
  <c r="L15" i="10"/>
  <c r="L16" i="10"/>
  <c r="L17" i="10"/>
  <c r="L18" i="10"/>
  <c r="L19" i="10"/>
  <c r="L5" i="10"/>
  <c r="O5" i="10" s="1"/>
  <c r="M13" i="10"/>
  <c r="M14" i="10"/>
  <c r="M15" i="10"/>
  <c r="M16" i="10"/>
  <c r="M17" i="10"/>
  <c r="M18" i="10"/>
  <c r="M6" i="10"/>
  <c r="M7" i="10"/>
  <c r="M8" i="10"/>
  <c r="M9" i="10"/>
  <c r="M10" i="10"/>
  <c r="M11" i="10"/>
  <c r="M12" i="10"/>
  <c r="M5" i="10"/>
  <c r="H14" i="9"/>
  <c r="M15" i="11"/>
  <c r="M16" i="11"/>
  <c r="I20" i="11"/>
  <c r="F20" i="11"/>
  <c r="I25" i="11"/>
  <c r="J25" i="11" s="1"/>
  <c r="K25" i="11" s="1"/>
  <c r="I24" i="11"/>
  <c r="J24" i="11" s="1"/>
  <c r="K24" i="11" s="1"/>
  <c r="I23" i="11"/>
  <c r="J23" i="11" s="1"/>
  <c r="K23" i="11" s="1"/>
  <c r="O19" i="11"/>
  <c r="P19" i="11" s="1"/>
  <c r="Q19" i="11" s="1"/>
  <c r="C19" i="11"/>
  <c r="O18" i="11"/>
  <c r="P18" i="11" s="1"/>
  <c r="Q18" i="11" s="1"/>
  <c r="C18" i="11"/>
  <c r="O17" i="11"/>
  <c r="P17" i="11" s="1"/>
  <c r="Q17" i="11" s="1"/>
  <c r="C17" i="11"/>
  <c r="O16" i="11"/>
  <c r="P16" i="11" s="1"/>
  <c r="Q16" i="11" s="1"/>
  <c r="C16" i="11"/>
  <c r="O15" i="11"/>
  <c r="P15" i="11" s="1"/>
  <c r="Q15" i="11" s="1"/>
  <c r="C15" i="11"/>
  <c r="O14" i="11"/>
  <c r="P14" i="11" s="1"/>
  <c r="Q14" i="11" s="1"/>
  <c r="C14" i="11"/>
  <c r="O13" i="11"/>
  <c r="P13" i="11" s="1"/>
  <c r="Q13" i="11" s="1"/>
  <c r="C13" i="11"/>
  <c r="O12" i="11"/>
  <c r="P12" i="11" s="1"/>
  <c r="Q12" i="11" s="1"/>
  <c r="C12" i="11"/>
  <c r="O11" i="11"/>
  <c r="P11" i="11" s="1"/>
  <c r="Q11" i="11" s="1"/>
  <c r="C11" i="11"/>
  <c r="O10" i="11"/>
  <c r="P10" i="11" s="1"/>
  <c r="Q10" i="11" s="1"/>
  <c r="C10" i="11"/>
  <c r="O9" i="11"/>
  <c r="P9" i="11" s="1"/>
  <c r="Q9" i="11" s="1"/>
  <c r="C9" i="11"/>
  <c r="O8" i="11"/>
  <c r="P8" i="11" s="1"/>
  <c r="Q8" i="11" s="1"/>
  <c r="C8" i="11"/>
  <c r="O7" i="11"/>
  <c r="P7" i="11" s="1"/>
  <c r="Q7" i="11" s="1"/>
  <c r="C7" i="11"/>
  <c r="O6" i="11"/>
  <c r="P6" i="11" s="1"/>
  <c r="Q6" i="11" s="1"/>
  <c r="C6" i="11"/>
  <c r="O5" i="11"/>
  <c r="P5" i="11" s="1"/>
  <c r="Q5" i="11" s="1"/>
  <c r="C5" i="11"/>
  <c r="H18" i="15" l="1"/>
  <c r="M18" i="15" s="1"/>
  <c r="M16" i="15"/>
  <c r="M9" i="15"/>
  <c r="R9" i="15" s="1"/>
  <c r="R10" i="15"/>
  <c r="F10" i="15"/>
  <c r="M10" i="15"/>
  <c r="L8" i="15"/>
  <c r="L4" i="15"/>
  <c r="M4" i="15" s="1"/>
  <c r="R4" i="15" s="1"/>
  <c r="I5" i="15"/>
  <c r="F6" i="15"/>
  <c r="M11" i="15"/>
  <c r="F5" i="15"/>
  <c r="I6" i="15"/>
  <c r="F4" i="15"/>
  <c r="L11" i="15"/>
  <c r="M7" i="15"/>
  <c r="R7" i="15" s="1"/>
  <c r="F8" i="15"/>
  <c r="M8" i="15" s="1"/>
  <c r="R8" i="15" s="1"/>
  <c r="O19" i="10"/>
  <c r="O11" i="10"/>
  <c r="P29" i="13"/>
  <c r="L29" i="11"/>
  <c r="L28" i="11"/>
  <c r="L37" i="13"/>
  <c r="L31" i="13"/>
  <c r="L28" i="13"/>
  <c r="F21" i="13"/>
  <c r="M21" i="13" s="1"/>
  <c r="R21" i="13" s="1"/>
  <c r="L15" i="13"/>
  <c r="L7" i="13"/>
  <c r="I19" i="13"/>
  <c r="I11" i="13"/>
  <c r="M11" i="13" s="1"/>
  <c r="R11" i="13" s="1"/>
  <c r="F20" i="13"/>
  <c r="M20" i="13" s="1"/>
  <c r="R20" i="13" s="1"/>
  <c r="F12" i="13"/>
  <c r="L6" i="13"/>
  <c r="I18" i="13"/>
  <c r="I10" i="13"/>
  <c r="I9" i="13"/>
  <c r="M9" i="13" s="1"/>
  <c r="R9" i="13" s="1"/>
  <c r="F10" i="13"/>
  <c r="I7" i="13"/>
  <c r="M7" i="13" s="1"/>
  <c r="R7" i="13" s="1"/>
  <c r="R24" i="13"/>
  <c r="F16" i="13"/>
  <c r="F8" i="13"/>
  <c r="M8" i="13" s="1"/>
  <c r="R8" i="13" s="1"/>
  <c r="L18" i="13"/>
  <c r="M18" i="13" s="1"/>
  <c r="R18" i="13" s="1"/>
  <c r="I22" i="13"/>
  <c r="M22" i="13" s="1"/>
  <c r="R22" i="13" s="1"/>
  <c r="I14" i="13"/>
  <c r="M14" i="13" s="1"/>
  <c r="I6" i="13"/>
  <c r="M6" i="13" s="1"/>
  <c r="R6" i="13" s="1"/>
  <c r="I17" i="13"/>
  <c r="M17" i="13" s="1"/>
  <c r="R17" i="13" s="1"/>
  <c r="F15" i="13"/>
  <c r="M15" i="13" s="1"/>
  <c r="R15" i="13" s="1"/>
  <c r="L17" i="13"/>
  <c r="L9" i="13"/>
  <c r="L23" i="11"/>
  <c r="O13" i="10"/>
  <c r="O10" i="10"/>
  <c r="O9" i="10"/>
  <c r="O17" i="10"/>
  <c r="O18" i="10"/>
  <c r="O16" i="10"/>
  <c r="O6" i="10"/>
  <c r="O15" i="10"/>
  <c r="O7" i="10"/>
  <c r="O8" i="10"/>
  <c r="M8" i="11"/>
  <c r="M9" i="11"/>
  <c r="R9" i="11" s="1"/>
  <c r="M10" i="13"/>
  <c r="R10" i="13" s="1"/>
  <c r="M13" i="13"/>
  <c r="R13" i="13" s="1"/>
  <c r="M19" i="13"/>
  <c r="R19" i="13" s="1"/>
  <c r="M5" i="13"/>
  <c r="R5" i="13" s="1"/>
  <c r="M12" i="13"/>
  <c r="R12" i="13" s="1"/>
  <c r="M16" i="13"/>
  <c r="R16" i="13" s="1"/>
  <c r="M17" i="11"/>
  <c r="R17" i="11" s="1"/>
  <c r="M18" i="11"/>
  <c r="R18" i="11" s="1"/>
  <c r="M12" i="11"/>
  <c r="R12" i="11" s="1"/>
  <c r="M10" i="11"/>
  <c r="R10" i="11" s="1"/>
  <c r="M11" i="11"/>
  <c r="R11" i="11" s="1"/>
  <c r="M5" i="11"/>
  <c r="R5" i="11" s="1"/>
  <c r="J14" i="9"/>
  <c r="L14" i="9"/>
  <c r="M13" i="11"/>
  <c r="R13" i="11" s="1"/>
  <c r="M14" i="11"/>
  <c r="R14" i="11" s="1"/>
  <c r="R8" i="11"/>
  <c r="R15" i="11"/>
  <c r="L25" i="11"/>
  <c r="R6" i="11"/>
  <c r="R7" i="11"/>
  <c r="R16" i="11"/>
  <c r="L24" i="11"/>
  <c r="R12" i="15" l="1"/>
  <c r="R11" i="15"/>
  <c r="M5" i="15"/>
  <c r="R5" i="15" s="1"/>
  <c r="M6" i="15"/>
  <c r="R6" i="15" s="1"/>
  <c r="R20" i="11"/>
  <c r="K24" i="9"/>
  <c r="G20" i="9"/>
  <c r="H20" i="9" s="1"/>
  <c r="L24" i="9" l="1"/>
  <c r="K21" i="9"/>
  <c r="G17" i="9"/>
  <c r="H17" i="9" s="1"/>
  <c r="G21" i="9"/>
  <c r="H21" i="9" s="1"/>
  <c r="K10" i="9"/>
  <c r="I18" i="9"/>
  <c r="K20" i="9"/>
  <c r="K19" i="9"/>
  <c r="K23" i="9"/>
  <c r="K13" i="9"/>
  <c r="K9" i="9"/>
  <c r="K12" i="9"/>
  <c r="I8" i="9"/>
  <c r="I24" i="9"/>
  <c r="I6" i="9"/>
  <c r="I5" i="9"/>
  <c r="K5" i="9"/>
  <c r="I16" i="9"/>
  <c r="K15" i="9"/>
  <c r="G19" i="9"/>
  <c r="H19" i="9" s="1"/>
  <c r="K22" i="9"/>
  <c r="I12" i="9"/>
  <c r="G6" i="9"/>
  <c r="H6" i="9" s="1"/>
  <c r="K6" i="9"/>
  <c r="K11" i="9"/>
  <c r="G7" i="9"/>
  <c r="H7" i="9" s="1"/>
  <c r="I7" i="9"/>
  <c r="K7" i="9"/>
  <c r="G11" i="9"/>
  <c r="H11" i="9" s="1"/>
  <c r="I11" i="9"/>
  <c r="G22" i="9"/>
  <c r="H22" i="9" s="1"/>
  <c r="I13" i="9"/>
  <c r="G15" i="9"/>
  <c r="H15" i="9" s="1"/>
  <c r="G13" i="9"/>
  <c r="H13" i="9" s="1"/>
  <c r="K18" i="9"/>
  <c r="G24" i="9"/>
  <c r="H24" i="9" s="1"/>
  <c r="G12" i="9"/>
  <c r="H12" i="9" s="1"/>
  <c r="K17" i="9"/>
  <c r="G23" i="9"/>
  <c r="H23" i="9" s="1"/>
  <c r="K8" i="9"/>
  <c r="I23" i="9"/>
  <c r="K16" i="9"/>
  <c r="G16" i="9"/>
  <c r="H16" i="9" s="1"/>
  <c r="I17" i="9"/>
  <c r="I22" i="9"/>
  <c r="G10" i="9"/>
  <c r="H10" i="9" s="1"/>
  <c r="I21" i="9"/>
  <c r="G9" i="9"/>
  <c r="H9" i="9" s="1"/>
  <c r="I20" i="9"/>
  <c r="I10" i="9"/>
  <c r="I15" i="9"/>
  <c r="G18" i="9"/>
  <c r="H18" i="9" s="1"/>
  <c r="G8" i="9"/>
  <c r="H8" i="9" s="1"/>
  <c r="I19" i="9"/>
  <c r="I9" i="9"/>
  <c r="J23" i="9" l="1"/>
  <c r="L15" i="9"/>
  <c r="J21" i="9"/>
  <c r="L21" i="9"/>
  <c r="J13" i="9"/>
  <c r="L12" i="9"/>
  <c r="L5" i="9"/>
  <c r="J5" i="9"/>
  <c r="L19" i="9"/>
  <c r="J20" i="9"/>
  <c r="L7" i="9"/>
  <c r="L10" i="9"/>
  <c r="J7" i="9"/>
  <c r="L17" i="9"/>
  <c r="J11" i="9"/>
  <c r="J19" i="9"/>
  <c r="L11" i="9"/>
  <c r="L13" i="9"/>
  <c r="J22" i="9"/>
  <c r="L6" i="9"/>
  <c r="L23" i="9"/>
  <c r="J17" i="9"/>
  <c r="J15" i="9"/>
  <c r="L18" i="9"/>
  <c r="J12" i="9"/>
  <c r="J6" i="9"/>
  <c r="L20" i="9"/>
  <c r="J10" i="9"/>
  <c r="L22" i="9"/>
  <c r="J24" i="9"/>
  <c r="J18" i="9"/>
  <c r="J9" i="9"/>
  <c r="L9" i="9"/>
  <c r="L16" i="9"/>
  <c r="J16" i="9"/>
  <c r="L8" i="9"/>
  <c r="J8" i="9"/>
</calcChain>
</file>

<file path=xl/sharedStrings.xml><?xml version="1.0" encoding="utf-8"?>
<sst xmlns="http://schemas.openxmlformats.org/spreadsheetml/2006/main" count="267" uniqueCount="99">
  <si>
    <t>Stt</t>
  </si>
  <si>
    <t>Họ và tên</t>
  </si>
  <si>
    <t>Số tiền/ tháng</t>
  </si>
  <si>
    <t>THÙ LAO THÁNG 8</t>
  </si>
  <si>
    <t>Trần Ngọc Dũng</t>
  </si>
  <si>
    <t>Nguyễn Thanh Tú</t>
  </si>
  <si>
    <t>Lê Thanh Thiên</t>
  </si>
  <si>
    <t>Nguyễn Trường Xuân</t>
  </si>
  <si>
    <t>Phan Phát Triển</t>
  </si>
  <si>
    <t>Phạm Hoa Thảo</t>
  </si>
  <si>
    <t>Lê Trung Hiếu</t>
  </si>
  <si>
    <t>Lê Ngô Đình Thuấn</t>
  </si>
  <si>
    <t>Trần Hoàng Kiệt</t>
  </si>
  <si>
    <t>Nguyễn Văn Đảm</t>
  </si>
  <si>
    <t>Lê Văn Tình</t>
  </si>
  <si>
    <t>Trần Quốc Toản</t>
  </si>
  <si>
    <t>Hồ Văn Hậu</t>
  </si>
  <si>
    <t>Nguyễn Ga Nyl</t>
  </si>
  <si>
    <t>Lý Minh Hùng</t>
  </si>
  <si>
    <t>Lê Đối Kỷ</t>
  </si>
  <si>
    <t>Lê Nhật Hào</t>
  </si>
  <si>
    <t>Võ Quốc Khánh</t>
  </si>
  <si>
    <t>Hệ số lương đang hưởng</t>
  </si>
  <si>
    <t>10,5% BHXH</t>
  </si>
  <si>
    <t>Lương thực lĩnh</t>
  </si>
  <si>
    <t>40% trừ định mức</t>
  </si>
  <si>
    <t>Thù lao sau khi trừ định mức</t>
  </si>
  <si>
    <t>Thành tiền thù lao</t>
  </si>
  <si>
    <t>Số tiền/1 hệ sô</t>
  </si>
  <si>
    <t>Hệ số</t>
  </si>
  <si>
    <t>KPI phòng</t>
  </si>
  <si>
    <t>KPI nhóm</t>
  </si>
  <si>
    <t>Trần Anh Giang</t>
  </si>
  <si>
    <t>Nguyễn Thị Thanh Loan</t>
  </si>
  <si>
    <t>Trần Huỳnh Ngân</t>
  </si>
  <si>
    <t>Phan Thị Thanh Thảo</t>
  </si>
  <si>
    <t>Lê Thu Thủy</t>
  </si>
  <si>
    <t xml:space="preserve">Nguyễn Tuấn Anh </t>
  </si>
  <si>
    <t>Lê Hoài Bửu</t>
  </si>
  <si>
    <t>Huỳnh Cẩm Bào</t>
  </si>
  <si>
    <t>Phan Thị Mộng Mơ</t>
  </si>
  <si>
    <t>Đặng Trần Tường Vi (nghỉ thai sản)</t>
  </si>
  <si>
    <t>Châu Thị Thùy Trang</t>
  </si>
  <si>
    <t>Châu Thị Yến Ngọc</t>
  </si>
  <si>
    <t>Trần Thị Tuyết Nhung</t>
  </si>
  <si>
    <t>Võ Văn Hải Đăng</t>
  </si>
  <si>
    <t>Trần Anh Thư</t>
  </si>
  <si>
    <t>Đoàn Thị Ái Vân</t>
  </si>
  <si>
    <t>Huỳnh Thị Tố Quyên</t>
  </si>
  <si>
    <t>Trình Hoàng Phúc</t>
  </si>
  <si>
    <t>Phan Hoàng Giang</t>
  </si>
  <si>
    <t>Trần Thanh Nhã</t>
  </si>
  <si>
    <t>Lê Minh Thiện</t>
  </si>
  <si>
    <t>Lâm Huỳnh Kim Chi</t>
  </si>
  <si>
    <t>Phạm Kiến Trúc</t>
  </si>
  <si>
    <t>Đào Thị Hương</t>
  </si>
  <si>
    <t>Lưu Thu Thảo</t>
  </si>
  <si>
    <t>Bùi Mỹ Hảo</t>
  </si>
  <si>
    <t>Hứa Thành Khoa</t>
  </si>
  <si>
    <t>Phạm Thị Nhí</t>
  </si>
  <si>
    <t>Lê Ngọc Băng Tâm</t>
  </si>
  <si>
    <t>Lê Hoàng Vinh</t>
  </si>
  <si>
    <t>cũ</t>
  </si>
  <si>
    <t>Số tiền/1 giờ</t>
  </si>
  <si>
    <t>Thành tiền
 thù lao</t>
  </si>
  <si>
    <t>Số tiền/1 hệ số</t>
  </si>
  <si>
    <t>Mức độ công việc</t>
  </si>
  <si>
    <t>cấp độ 1</t>
  </si>
  <si>
    <t>cấp độ 2</t>
  </si>
  <si>
    <t>cấp độ 3</t>
  </si>
  <si>
    <t>KPI</t>
  </si>
  <si>
    <t>Nguyễn Thị Thanh Xuân</t>
  </si>
  <si>
    <t>HSNL</t>
  </si>
  <si>
    <t>Chấm 100</t>
  </si>
  <si>
    <t>chấm 90</t>
  </si>
  <si>
    <t>chấm 80</t>
  </si>
  <si>
    <t>Thời gian</t>
  </si>
  <si>
    <t>Thành tiền</t>
  </si>
  <si>
    <t>Cấp độ 1</t>
  </si>
  <si>
    <t>Cấp độ 2</t>
  </si>
  <si>
    <t>Cấp độ 3</t>
  </si>
  <si>
    <t>Nguyễn Thị Diệp Thuỳ</t>
  </si>
  <si>
    <t>Thời gian làm việc</t>
  </si>
  <si>
    <t>cấp độ 1 (1)</t>
  </si>
  <si>
    <t>cấp độ 2 (2)</t>
  </si>
  <si>
    <t>cấp độ 3 (3)</t>
  </si>
  <si>
    <t>cấp độ 1 (4)</t>
  </si>
  <si>
    <t>Thời gian (5)</t>
  </si>
  <si>
    <t>cấp độ 2 (6)</t>
  </si>
  <si>
    <t>Thời gian (7)</t>
  </si>
  <si>
    <t>cấp độ 3 (8)</t>
  </si>
  <si>
    <t>Thời gian (9)</t>
  </si>
  <si>
    <t xml:space="preserve">= (4)/100 *8 </t>
  </si>
  <si>
    <t>Thời gian làm việc từng cấp độ (5)</t>
  </si>
  <si>
    <t>= 29/100*8</t>
  </si>
  <si>
    <t>= 2,3</t>
  </si>
  <si>
    <t xml:space="preserve">= tỷ lệ cấp độ cv /100 * 8 </t>
  </si>
  <si>
    <t xml:space="preserve">Thời gian làm việc từng cấp độ </t>
  </si>
  <si>
    <t>số giờ làm việc trên ngày là 8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</si>
</sst>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-* #,##0.00\ _₫_-;\-* #,##0.00\ _₫_-;_-* &quot;-&quot;??\ _₫_-;_-@_-"/>
    <numFmt numFmtId="165" formatCode="0.000"/>
    <numFmt numFmtId="166" formatCode="_-* #,##0\ _₫_-;\-* #,##0\ _₫_-;_-* &quot;-&quot;??\ _₫_-;_-@_-"/>
    <numFmt numFmtId="167" formatCode="_(* #,##0.0_);_(* \(#,##0.0\);_(* &quot;-&quot;_);_(@_)"/>
  </numFmts>
  <fonts count="2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4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3"/>
      <color rgb="FF000000"/>
      <name val="Times New Roman"/>
      <family val="1"/>
      <charset val="163"/>
    </font>
    <font>
      <sz val="13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indexed="8"/>
      <name val="Times New Roman"/>
      <family val="1"/>
    </font>
    <font>
      <b/>
      <sz val="14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4"/>
      <color rgb="FFFF0000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1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164">
    <xf numFmtId="0" fontId="0" fillId="0" borderId="0" xfId="0"/>
    <xf numFmtId="0" fontId="3" fillId="0" borderId="1" xfId="0" applyFont="1" applyBorder="1"/>
    <xf numFmtId="3" fontId="3" fillId="0" borderId="1" xfId="0" applyNumberFormat="1" applyFont="1" applyBorder="1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3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165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2" fontId="7" fillId="2" borderId="1" xfId="0" quotePrefix="1" applyNumberFormat="1" applyFont="1" applyFill="1" applyBorder="1" applyAlignment="1">
      <alignment horizontal="right"/>
    </xf>
    <xf numFmtId="2" fontId="8" fillId="2" borderId="1" xfId="0" applyNumberFormat="1" applyFont="1" applyFill="1" applyBorder="1" applyAlignment="1">
      <alignment horizontal="right"/>
    </xf>
    <xf numFmtId="3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1" fontId="6" fillId="0" borderId="1" xfId="1" applyFont="1" applyBorder="1"/>
    <xf numFmtId="0" fontId="3" fillId="0" borderId="0" xfId="0" applyFont="1"/>
    <xf numFmtId="0" fontId="0" fillId="0" borderId="0" xfId="0" applyAlignment="1">
      <alignment horizontal="center"/>
    </xf>
    <xf numFmtId="0" fontId="14" fillId="0" borderId="0" xfId="0" applyFont="1"/>
    <xf numFmtId="3" fontId="14" fillId="0" borderId="0" xfId="0" applyNumberFormat="1" applyFont="1"/>
    <xf numFmtId="3" fontId="15" fillId="0" borderId="2" xfId="0" applyNumberFormat="1" applyFont="1" applyBorder="1" applyAlignment="1">
      <alignment horizontal="center" vertical="center" wrapText="1"/>
    </xf>
    <xf numFmtId="0" fontId="16" fillId="0" borderId="3" xfId="0" applyFont="1" applyBorder="1"/>
    <xf numFmtId="0" fontId="16" fillId="0" borderId="4" xfId="0" applyFont="1" applyBorder="1"/>
    <xf numFmtId="3" fontId="16" fillId="0" borderId="4" xfId="0" applyNumberFormat="1" applyFont="1" applyBorder="1"/>
    <xf numFmtId="2" fontId="16" fillId="0" borderId="4" xfId="0" applyNumberFormat="1" applyFont="1" applyBorder="1" applyAlignment="1">
      <alignment horizontal="right"/>
    </xf>
    <xf numFmtId="2" fontId="7" fillId="3" borderId="4" xfId="0" applyNumberFormat="1" applyFont="1" applyFill="1" applyBorder="1" applyAlignment="1">
      <alignment horizontal="right"/>
    </xf>
    <xf numFmtId="165" fontId="16" fillId="3" borderId="4" xfId="0" applyNumberFormat="1" applyFont="1" applyFill="1" applyBorder="1" applyAlignment="1">
      <alignment horizontal="right"/>
    </xf>
    <xf numFmtId="0" fontId="16" fillId="0" borderId="1" xfId="0" applyFont="1" applyBorder="1"/>
    <xf numFmtId="3" fontId="16" fillId="0" borderId="1" xfId="0" applyNumberFormat="1" applyFont="1" applyBorder="1"/>
    <xf numFmtId="165" fontId="16" fillId="0" borderId="1" xfId="0" applyNumberFormat="1" applyFont="1" applyBorder="1"/>
    <xf numFmtId="41" fontId="3" fillId="0" borderId="1" xfId="1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right"/>
    </xf>
    <xf numFmtId="2" fontId="12" fillId="2" borderId="1" xfId="0" quotePrefix="1" applyNumberFormat="1" applyFont="1" applyFill="1" applyBorder="1" applyAlignment="1">
      <alignment horizontal="right"/>
    </xf>
    <xf numFmtId="2" fontId="18" fillId="2" borderId="1" xfId="0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3" fontId="19" fillId="0" borderId="1" xfId="0" applyNumberFormat="1" applyFont="1" applyBorder="1"/>
    <xf numFmtId="0" fontId="5" fillId="0" borderId="1" xfId="0" applyFont="1" applyBorder="1"/>
    <xf numFmtId="3" fontId="5" fillId="0" borderId="1" xfId="0" applyNumberFormat="1" applyFont="1" applyBorder="1"/>
    <xf numFmtId="0" fontId="1" fillId="0" borderId="0" xfId="0" applyFont="1"/>
    <xf numFmtId="0" fontId="20" fillId="0" borderId="0" xfId="0" applyFont="1" applyAlignment="1">
      <alignment horizontal="center"/>
    </xf>
    <xf numFmtId="0" fontId="20" fillId="0" borderId="0" xfId="0" applyFont="1"/>
    <xf numFmtId="3" fontId="20" fillId="0" borderId="0" xfId="0" applyNumberFormat="1" applyFont="1"/>
    <xf numFmtId="166" fontId="0" fillId="0" borderId="0" xfId="2" applyNumberFormat="1" applyFont="1"/>
    <xf numFmtId="3" fontId="3" fillId="0" borderId="0" xfId="1" applyNumberFormat="1" applyFont="1"/>
    <xf numFmtId="0" fontId="3" fillId="4" borderId="1" xfId="0" applyFont="1" applyFill="1" applyBorder="1"/>
    <xf numFmtId="0" fontId="3" fillId="4" borderId="0" xfId="0" applyFont="1" applyFill="1"/>
    <xf numFmtId="167" fontId="2" fillId="0" borderId="1" xfId="1" applyNumberFormat="1" applyFont="1" applyBorder="1" applyAlignment="1">
      <alignment horizontal="center" vertical="center" wrapText="1"/>
    </xf>
    <xf numFmtId="167" fontId="3" fillId="0" borderId="1" xfId="1" applyNumberFormat="1" applyFont="1" applyBorder="1"/>
    <xf numFmtId="167" fontId="5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0" xfId="0" applyFont="1"/>
    <xf numFmtId="167" fontId="2" fillId="0" borderId="1" xfId="1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2" fillId="0" borderId="1" xfId="0" applyFont="1" applyBorder="1" applyAlignment="1">
      <alignment horizontal="right" vertical="center" wrapText="1"/>
    </xf>
    <xf numFmtId="41" fontId="3" fillId="0" borderId="1" xfId="1" applyFont="1" applyBorder="1" applyAlignment="1">
      <alignment horizontal="right"/>
    </xf>
    <xf numFmtId="167" fontId="3" fillId="0" borderId="1" xfId="1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167" fontId="3" fillId="0" borderId="0" xfId="1" applyNumberFormat="1" applyFont="1" applyAlignment="1">
      <alignment horizontal="right"/>
    </xf>
    <xf numFmtId="0" fontId="3" fillId="0" borderId="1" xfId="0" applyFont="1" applyBorder="1" applyAlignment="1">
      <alignment horizontal="right" vertical="center" wrapText="1"/>
    </xf>
    <xf numFmtId="2" fontId="12" fillId="0" borderId="1" xfId="0" quotePrefix="1" applyNumberFormat="1" applyFont="1" applyBorder="1" applyAlignment="1">
      <alignment horizontal="right"/>
    </xf>
    <xf numFmtId="0" fontId="3" fillId="4" borderId="0" xfId="0" applyFont="1" applyFill="1" applyAlignment="1">
      <alignment horizontal="right"/>
    </xf>
    <xf numFmtId="167" fontId="3" fillId="4" borderId="0" xfId="1" applyNumberFormat="1" applyFont="1" applyFill="1" applyAlignment="1">
      <alignment horizontal="right"/>
    </xf>
    <xf numFmtId="0" fontId="2" fillId="0" borderId="2" xfId="0" applyFont="1" applyBorder="1" applyAlignment="1">
      <alignment horizontal="center"/>
    </xf>
    <xf numFmtId="0" fontId="3" fillId="4" borderId="1" xfId="0" applyFont="1" applyFill="1" applyBorder="1" applyAlignment="1">
      <alignment horizontal="right" vertical="center" wrapText="1"/>
    </xf>
    <xf numFmtId="0" fontId="22" fillId="4" borderId="1" xfId="0" applyFont="1" applyFill="1" applyBorder="1" applyAlignment="1">
      <alignment horizontal="right" vertical="center" wrapText="1"/>
    </xf>
    <xf numFmtId="41" fontId="3" fillId="4" borderId="1" xfId="1" applyFont="1" applyFill="1" applyBorder="1" applyAlignment="1">
      <alignment horizontal="right"/>
    </xf>
    <xf numFmtId="167" fontId="3" fillId="4" borderId="1" xfId="1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167" fontId="2" fillId="0" borderId="6" xfId="1" applyNumberFormat="1" applyFont="1" applyBorder="1" applyAlignment="1">
      <alignment horizontal="center"/>
    </xf>
    <xf numFmtId="167" fontId="6" fillId="0" borderId="1" xfId="1" applyNumberFormat="1" applyFont="1" applyBorder="1"/>
    <xf numFmtId="167" fontId="19" fillId="0" borderId="1" xfId="1" applyNumberFormat="1" applyFont="1" applyBorder="1"/>
    <xf numFmtId="167" fontId="0" fillId="0" borderId="0" xfId="1" applyNumberFormat="1" applyFont="1"/>
    <xf numFmtId="167" fontId="20" fillId="0" borderId="0" xfId="1" applyNumberFormat="1" applyFont="1"/>
    <xf numFmtId="41" fontId="3" fillId="4" borderId="1" xfId="1" applyFont="1" applyFill="1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7" fontId="2" fillId="0" borderId="5" xfId="1" applyNumberFormat="1" applyFont="1" applyBorder="1" applyAlignment="1">
      <alignment horizontal="center"/>
    </xf>
    <xf numFmtId="167" fontId="2" fillId="0" borderId="6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3" fontId="2" fillId="0" borderId="5" xfId="0" applyNumberFormat="1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3" fillId="0" borderId="0" xfId="0" applyFont="1"/>
    <xf numFmtId="0" fontId="19" fillId="0" borderId="0" xfId="0" applyFont="1"/>
    <xf numFmtId="3" fontId="23" fillId="0" borderId="1" xfId="0" applyNumberFormat="1" applyFont="1" applyBorder="1"/>
    <xf numFmtId="167" fontId="23" fillId="0" borderId="1" xfId="1" applyNumberFormat="1" applyFont="1" applyBorder="1"/>
    <xf numFmtId="0" fontId="23" fillId="0" borderId="0" xfId="0" applyFont="1" applyAlignment="1">
      <alignment horizontal="center"/>
    </xf>
    <xf numFmtId="3" fontId="23" fillId="0" borderId="0" xfId="0" applyNumberFormat="1" applyFont="1"/>
    <xf numFmtId="167" fontId="23" fillId="0" borderId="0" xfId="1" applyNumberFormat="1" applyFont="1"/>
    <xf numFmtId="3" fontId="5" fillId="0" borderId="7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20" fillId="0" borderId="0" xfId="0" applyNumberFormat="1" applyFont="1" applyBorder="1"/>
    <xf numFmtId="0" fontId="20" fillId="0" borderId="0" xfId="0" applyFont="1" applyBorder="1"/>
    <xf numFmtId="3" fontId="20" fillId="4" borderId="0" xfId="0" applyNumberFormat="1" applyFont="1" applyFill="1" applyBorder="1"/>
    <xf numFmtId="41" fontId="17" fillId="0" borderId="0" xfId="1" applyFont="1" applyBorder="1"/>
    <xf numFmtId="0" fontId="17" fillId="0" borderId="0" xfId="0" applyFont="1" applyBorder="1"/>
    <xf numFmtId="3" fontId="17" fillId="0" borderId="0" xfId="0" applyNumberFormat="1" applyFont="1" applyBorder="1"/>
    <xf numFmtId="165" fontId="17" fillId="0" borderId="0" xfId="0" applyNumberFormat="1" applyFont="1" applyBorder="1" applyAlignment="1">
      <alignment horizontal="right"/>
    </xf>
    <xf numFmtId="3" fontId="17" fillId="0" borderId="0" xfId="1" applyNumberFormat="1" applyFont="1" applyBorder="1"/>
    <xf numFmtId="3" fontId="0" fillId="0" borderId="0" xfId="0" applyNumberFormat="1" applyBorder="1"/>
    <xf numFmtId="0" fontId="0" fillId="0" borderId="0" xfId="0" applyBorder="1"/>
    <xf numFmtId="41" fontId="0" fillId="0" borderId="0" xfId="0" applyNumberFormat="1"/>
    <xf numFmtId="41" fontId="0" fillId="4" borderId="0" xfId="1" applyFont="1" applyFill="1"/>
    <xf numFmtId="0" fontId="16" fillId="0" borderId="1" xfId="0" applyFont="1" applyBorder="1" applyAlignment="1">
      <alignment horizontal="center"/>
    </xf>
    <xf numFmtId="0" fontId="16" fillId="0" borderId="7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6" fillId="0" borderId="1" xfId="0" applyNumberFormat="1" applyFont="1" applyBorder="1" applyAlignment="1">
      <alignment horizontal="right" vertical="center"/>
    </xf>
    <xf numFmtId="167" fontId="6" fillId="0" borderId="1" xfId="1" applyNumberFormat="1" applyFont="1" applyBorder="1" applyAlignment="1">
      <alignment horizontal="right" vertical="center"/>
    </xf>
    <xf numFmtId="2" fontId="16" fillId="0" borderId="4" xfId="0" applyNumberFormat="1" applyFont="1" applyBorder="1" applyAlignment="1">
      <alignment horizontal="right" vertical="center"/>
    </xf>
    <xf numFmtId="3" fontId="16" fillId="0" borderId="4" xfId="0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1" fontId="3" fillId="0" borderId="1" xfId="1" applyFont="1" applyFill="1" applyBorder="1"/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/>
    </xf>
    <xf numFmtId="41" fontId="3" fillId="0" borderId="1" xfId="1" applyFont="1" applyFill="1" applyBorder="1" applyAlignment="1">
      <alignment horizontal="right" vertical="center"/>
    </xf>
    <xf numFmtId="0" fontId="15" fillId="0" borderId="1" xfId="0" applyFont="1" applyBorder="1" applyAlignment="1">
      <alignment horizontal="center" vertical="center" wrapText="1"/>
    </xf>
    <xf numFmtId="167" fontId="11" fillId="0" borderId="1" xfId="1" applyNumberFormat="1" applyFont="1" applyBorder="1" applyAlignment="1">
      <alignment horizontal="center" vertical="center"/>
    </xf>
    <xf numFmtId="167" fontId="16" fillId="0" borderId="1" xfId="1" applyNumberFormat="1" applyFont="1" applyBorder="1"/>
    <xf numFmtId="167" fontId="16" fillId="0" borderId="4" xfId="1" applyNumberFormat="1" applyFont="1" applyBorder="1"/>
    <xf numFmtId="167" fontId="5" fillId="0" borderId="1" xfId="1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167" fontId="2" fillId="0" borderId="5" xfId="1" applyNumberFormat="1" applyFont="1" applyFill="1" applyBorder="1" applyAlignment="1">
      <alignment horizontal="center"/>
    </xf>
    <xf numFmtId="167" fontId="2" fillId="0" borderId="6" xfId="1" applyNumberFormat="1" applyFont="1" applyFill="1" applyBorder="1" applyAlignment="1">
      <alignment horizontal="center"/>
    </xf>
    <xf numFmtId="167" fontId="2" fillId="0" borderId="2" xfId="1" applyNumberFormat="1" applyFont="1" applyFill="1" applyBorder="1" applyAlignment="1">
      <alignment horizontal="center"/>
    </xf>
    <xf numFmtId="0" fontId="2" fillId="0" borderId="0" xfId="0" applyFont="1" applyFill="1"/>
    <xf numFmtId="167" fontId="2" fillId="0" borderId="1" xfId="1" applyNumberFormat="1" applyFont="1" applyFill="1" applyBorder="1" applyAlignment="1">
      <alignment horizontal="right"/>
    </xf>
    <xf numFmtId="0" fontId="6" fillId="0" borderId="1" xfId="0" applyFont="1" applyFill="1" applyBorder="1"/>
    <xf numFmtId="0" fontId="22" fillId="0" borderId="1" xfId="0" applyFont="1" applyFill="1" applyBorder="1" applyAlignment="1">
      <alignment horizontal="right" vertical="center" wrapText="1"/>
    </xf>
    <xf numFmtId="167" fontId="3" fillId="0" borderId="1" xfId="1" applyNumberFormat="1" applyFont="1" applyFill="1" applyBorder="1" applyAlignment="1">
      <alignment horizontal="right"/>
    </xf>
    <xf numFmtId="41" fontId="3" fillId="0" borderId="0" xfId="1" applyFont="1" applyFill="1"/>
    <xf numFmtId="41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167" fontId="3" fillId="0" borderId="0" xfId="1" applyNumberFormat="1" applyFont="1" applyFill="1" applyAlignment="1">
      <alignment horizontal="right"/>
    </xf>
    <xf numFmtId="0" fontId="3" fillId="0" borderId="0" xfId="0" quotePrefix="1" applyFont="1" applyAlignment="1">
      <alignment horizontal="right"/>
    </xf>
    <xf numFmtId="167" fontId="3" fillId="0" borderId="0" xfId="1" quotePrefix="1" applyNumberFormat="1" applyFont="1" applyAlignment="1">
      <alignment horizontal="right"/>
    </xf>
    <xf numFmtId="0" fontId="3" fillId="0" borderId="0" xfId="0" quotePrefix="1" applyFont="1" applyAlignment="1">
      <alignment horizontal="center"/>
    </xf>
    <xf numFmtId="167" fontId="3" fillId="0" borderId="0" xfId="1" applyNumberFormat="1" applyFont="1" applyAlignment="1">
      <alignment horizontal="center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1C97-539C-3F45-BDC3-40203FFEF221}">
  <dimension ref="B3:O30"/>
  <sheetViews>
    <sheetView tabSelected="1" workbookViewId="0">
      <selection activeCell="G29" sqref="G29"/>
    </sheetView>
  </sheetViews>
  <sheetFormatPr baseColWidth="10" defaultRowHeight="18" x14ac:dyDescent="0.2"/>
  <cols>
    <col min="1" max="1" width="10.83203125" style="18"/>
    <col min="2" max="2" width="35.6640625" style="18" bestFit="1" customWidth="1"/>
    <col min="3" max="3" width="14.6640625" style="64" customWidth="1"/>
    <col min="4" max="4" width="14.33203125" style="64" customWidth="1"/>
    <col min="5" max="5" width="14.1640625" style="64" customWidth="1"/>
    <col min="6" max="6" width="10.83203125" style="64" hidden="1" customWidth="1"/>
    <col min="7" max="7" width="12.83203125" style="64" bestFit="1" customWidth="1"/>
    <col min="8" max="8" width="15.6640625" style="65" bestFit="1" customWidth="1"/>
    <col min="9" max="9" width="12.83203125" style="64" bestFit="1" customWidth="1"/>
    <col min="10" max="10" width="15.6640625" style="65" bestFit="1" customWidth="1"/>
    <col min="11" max="11" width="12.83203125" style="64" bestFit="1" customWidth="1"/>
    <col min="12" max="12" width="15.6640625" style="65" bestFit="1" customWidth="1"/>
    <col min="13" max="15" width="10.83203125" style="65"/>
    <col min="16" max="16384" width="10.83203125" style="18"/>
  </cols>
  <sheetData>
    <row r="3" spans="2:15" s="58" customFormat="1" x14ac:dyDescent="0.2">
      <c r="B3" s="56"/>
      <c r="C3" s="83" t="s">
        <v>66</v>
      </c>
      <c r="D3" s="84"/>
      <c r="E3" s="85"/>
      <c r="F3" s="57"/>
      <c r="G3" s="83" t="s">
        <v>82</v>
      </c>
      <c r="H3" s="84"/>
      <c r="I3" s="84"/>
      <c r="J3" s="84"/>
      <c r="K3" s="85"/>
      <c r="L3" s="76"/>
      <c r="M3" s="86" t="s">
        <v>70</v>
      </c>
      <c r="N3" s="87"/>
      <c r="O3" s="88"/>
    </row>
    <row r="4" spans="2:15" s="58" customFormat="1" x14ac:dyDescent="0.2">
      <c r="B4" s="56"/>
      <c r="C4" s="57" t="s">
        <v>83</v>
      </c>
      <c r="D4" s="57" t="s">
        <v>84</v>
      </c>
      <c r="E4" s="57" t="s">
        <v>85</v>
      </c>
      <c r="F4" s="57"/>
      <c r="G4" s="57" t="s">
        <v>86</v>
      </c>
      <c r="H4" s="59" t="s">
        <v>87</v>
      </c>
      <c r="I4" s="57" t="s">
        <v>88</v>
      </c>
      <c r="J4" s="59" t="s">
        <v>89</v>
      </c>
      <c r="K4" s="57" t="s">
        <v>90</v>
      </c>
      <c r="L4" s="59" t="s">
        <v>91</v>
      </c>
      <c r="M4" s="59" t="s">
        <v>67</v>
      </c>
      <c r="N4" s="59" t="s">
        <v>68</v>
      </c>
      <c r="O4" s="59" t="s">
        <v>69</v>
      </c>
    </row>
    <row r="5" spans="2:15" x14ac:dyDescent="0.2">
      <c r="B5" s="1" t="s">
        <v>32</v>
      </c>
      <c r="C5" s="60">
        <v>2</v>
      </c>
      <c r="D5" s="60">
        <v>4</v>
      </c>
      <c r="E5" s="60">
        <v>1</v>
      </c>
      <c r="F5" s="61">
        <f t="shared" ref="F5:F24" si="0">C5+D5+E5</f>
        <v>7</v>
      </c>
      <c r="G5" s="62">
        <f>C5/F5*100</f>
        <v>28.571428571428569</v>
      </c>
      <c r="H5" s="63">
        <f>G5*$J$27</f>
        <v>0</v>
      </c>
      <c r="I5" s="62">
        <f t="shared" ref="I5:I13" si="1">D5/F5*100</f>
        <v>57.142857142857139</v>
      </c>
      <c r="J5" s="63">
        <f t="shared" ref="J5:J24" si="2">I5*$J$27</f>
        <v>0</v>
      </c>
      <c r="K5" s="62">
        <f t="shared" ref="K5:K13" si="3">E5/F5*100</f>
        <v>14.285714285714285</v>
      </c>
      <c r="L5" s="63">
        <f t="shared" ref="L5:L24" si="4">K5*$J$27</f>
        <v>0</v>
      </c>
      <c r="M5" s="63">
        <v>100</v>
      </c>
      <c r="N5" s="63">
        <v>100</v>
      </c>
      <c r="O5" s="63">
        <v>100</v>
      </c>
    </row>
    <row r="6" spans="2:15" x14ac:dyDescent="0.2">
      <c r="B6" s="1" t="s">
        <v>33</v>
      </c>
      <c r="C6" s="60">
        <v>1</v>
      </c>
      <c r="D6" s="60">
        <v>11</v>
      </c>
      <c r="E6" s="60">
        <v>4</v>
      </c>
      <c r="F6" s="61">
        <f t="shared" si="0"/>
        <v>16</v>
      </c>
      <c r="G6" s="62">
        <f t="shared" ref="G5:G13" si="5">C6/F6*100</f>
        <v>6.25</v>
      </c>
      <c r="H6" s="63">
        <f t="shared" ref="H5:H24" si="6">G6*$J$27</f>
        <v>0</v>
      </c>
      <c r="I6" s="62">
        <f t="shared" si="1"/>
        <v>68.75</v>
      </c>
      <c r="J6" s="63">
        <f t="shared" si="2"/>
        <v>0</v>
      </c>
      <c r="K6" s="62">
        <f t="shared" si="3"/>
        <v>25</v>
      </c>
      <c r="L6" s="63">
        <f t="shared" si="4"/>
        <v>0</v>
      </c>
      <c r="M6" s="63">
        <v>100</v>
      </c>
      <c r="N6" s="63">
        <v>100</v>
      </c>
      <c r="O6" s="63">
        <v>100</v>
      </c>
    </row>
    <row r="7" spans="2:15" x14ac:dyDescent="0.2">
      <c r="B7" s="1" t="s">
        <v>34</v>
      </c>
      <c r="C7" s="60">
        <v>2</v>
      </c>
      <c r="D7" s="60">
        <v>3</v>
      </c>
      <c r="E7" s="60">
        <v>2</v>
      </c>
      <c r="F7" s="61">
        <f t="shared" si="0"/>
        <v>7</v>
      </c>
      <c r="G7" s="62">
        <f t="shared" si="5"/>
        <v>28.571428571428569</v>
      </c>
      <c r="H7" s="63">
        <f t="shared" si="6"/>
        <v>0</v>
      </c>
      <c r="I7" s="62">
        <f t="shared" si="1"/>
        <v>42.857142857142854</v>
      </c>
      <c r="J7" s="63">
        <f t="shared" si="2"/>
        <v>0</v>
      </c>
      <c r="K7" s="62">
        <f t="shared" si="3"/>
        <v>28.571428571428569</v>
      </c>
      <c r="L7" s="63">
        <f t="shared" si="4"/>
        <v>0</v>
      </c>
      <c r="M7" s="63">
        <v>100</v>
      </c>
      <c r="N7" s="63">
        <v>100</v>
      </c>
      <c r="O7" s="63">
        <v>100</v>
      </c>
    </row>
    <row r="8" spans="2:15" x14ac:dyDescent="0.2">
      <c r="B8" s="51" t="s">
        <v>35</v>
      </c>
      <c r="C8" s="60">
        <v>1</v>
      </c>
      <c r="D8" s="60">
        <v>3</v>
      </c>
      <c r="E8" s="60">
        <v>3</v>
      </c>
      <c r="F8" s="61">
        <f t="shared" si="0"/>
        <v>7</v>
      </c>
      <c r="G8" s="62">
        <f t="shared" si="5"/>
        <v>14.285714285714285</v>
      </c>
      <c r="H8" s="63">
        <f t="shared" si="6"/>
        <v>0</v>
      </c>
      <c r="I8" s="62">
        <f t="shared" si="1"/>
        <v>42.857142857142854</v>
      </c>
      <c r="J8" s="63">
        <f t="shared" si="2"/>
        <v>0</v>
      </c>
      <c r="K8" s="62">
        <f t="shared" si="3"/>
        <v>42.857142857142854</v>
      </c>
      <c r="L8" s="63">
        <f t="shared" si="4"/>
        <v>0</v>
      </c>
      <c r="M8" s="63">
        <v>100</v>
      </c>
      <c r="N8" s="63">
        <v>100</v>
      </c>
      <c r="O8" s="63">
        <v>100</v>
      </c>
    </row>
    <row r="9" spans="2:15" x14ac:dyDescent="0.2">
      <c r="B9" s="1" t="s">
        <v>36</v>
      </c>
      <c r="C9" s="60"/>
      <c r="D9" s="60">
        <v>11</v>
      </c>
      <c r="E9" s="60"/>
      <c r="F9" s="61">
        <f t="shared" si="0"/>
        <v>11</v>
      </c>
      <c r="G9" s="62">
        <f t="shared" si="5"/>
        <v>0</v>
      </c>
      <c r="H9" s="63">
        <f t="shared" si="6"/>
        <v>0</v>
      </c>
      <c r="I9" s="62">
        <f t="shared" si="1"/>
        <v>100</v>
      </c>
      <c r="J9" s="63">
        <f t="shared" si="2"/>
        <v>0</v>
      </c>
      <c r="K9" s="62">
        <f t="shared" si="3"/>
        <v>0</v>
      </c>
      <c r="L9" s="63">
        <f t="shared" si="4"/>
        <v>0</v>
      </c>
      <c r="M9" s="63">
        <v>100</v>
      </c>
      <c r="N9" s="63">
        <v>100</v>
      </c>
      <c r="O9" s="63">
        <v>100</v>
      </c>
    </row>
    <row r="10" spans="2:15" x14ac:dyDescent="0.2">
      <c r="B10" s="1" t="s">
        <v>37</v>
      </c>
      <c r="C10" s="66">
        <v>1</v>
      </c>
      <c r="D10" s="66">
        <v>5</v>
      </c>
      <c r="E10" s="66">
        <v>2</v>
      </c>
      <c r="F10" s="61">
        <f t="shared" si="0"/>
        <v>8</v>
      </c>
      <c r="G10" s="62">
        <f t="shared" si="5"/>
        <v>12.5</v>
      </c>
      <c r="H10" s="63">
        <f t="shared" si="6"/>
        <v>0</v>
      </c>
      <c r="I10" s="62">
        <f t="shared" si="1"/>
        <v>62.5</v>
      </c>
      <c r="J10" s="63">
        <f t="shared" si="2"/>
        <v>0</v>
      </c>
      <c r="K10" s="62">
        <f t="shared" si="3"/>
        <v>25</v>
      </c>
      <c r="L10" s="63">
        <f t="shared" si="4"/>
        <v>0</v>
      </c>
      <c r="M10" s="63">
        <v>100</v>
      </c>
      <c r="N10" s="63">
        <v>100</v>
      </c>
      <c r="O10" s="63">
        <v>100</v>
      </c>
    </row>
    <row r="11" spans="2:15" x14ac:dyDescent="0.2">
      <c r="B11" s="1" t="s">
        <v>38</v>
      </c>
      <c r="C11" s="60">
        <v>4</v>
      </c>
      <c r="D11" s="60">
        <v>2</v>
      </c>
      <c r="E11" s="60"/>
      <c r="F11" s="61">
        <f t="shared" si="0"/>
        <v>6</v>
      </c>
      <c r="G11" s="62">
        <f t="shared" si="5"/>
        <v>66.666666666666657</v>
      </c>
      <c r="H11" s="63">
        <f t="shared" si="6"/>
        <v>0</v>
      </c>
      <c r="I11" s="62">
        <f t="shared" si="1"/>
        <v>33.333333333333329</v>
      </c>
      <c r="J11" s="63">
        <f t="shared" si="2"/>
        <v>0</v>
      </c>
      <c r="K11" s="62">
        <f t="shared" si="3"/>
        <v>0</v>
      </c>
      <c r="L11" s="63">
        <f t="shared" si="4"/>
        <v>0</v>
      </c>
      <c r="M11" s="63">
        <v>100</v>
      </c>
      <c r="N11" s="63">
        <v>100</v>
      </c>
      <c r="O11" s="63">
        <v>100</v>
      </c>
    </row>
    <row r="12" spans="2:15" x14ac:dyDescent="0.2">
      <c r="B12" s="1" t="s">
        <v>39</v>
      </c>
      <c r="C12" s="60">
        <v>5</v>
      </c>
      <c r="D12" s="60">
        <v>6</v>
      </c>
      <c r="E12" s="60">
        <v>4</v>
      </c>
      <c r="F12" s="61">
        <f t="shared" si="0"/>
        <v>15</v>
      </c>
      <c r="G12" s="62">
        <f t="shared" si="5"/>
        <v>33.333333333333329</v>
      </c>
      <c r="H12" s="63">
        <f t="shared" si="6"/>
        <v>0</v>
      </c>
      <c r="I12" s="62">
        <f t="shared" si="1"/>
        <v>40</v>
      </c>
      <c r="J12" s="63">
        <f t="shared" si="2"/>
        <v>0</v>
      </c>
      <c r="K12" s="62">
        <f t="shared" si="3"/>
        <v>26.666666666666668</v>
      </c>
      <c r="L12" s="63">
        <f t="shared" si="4"/>
        <v>0</v>
      </c>
      <c r="M12" s="63">
        <v>100</v>
      </c>
      <c r="N12" s="63">
        <v>100</v>
      </c>
      <c r="O12" s="63">
        <v>100</v>
      </c>
    </row>
    <row r="13" spans="2:15" x14ac:dyDescent="0.2">
      <c r="B13" s="1" t="s">
        <v>40</v>
      </c>
      <c r="C13" s="60">
        <v>7</v>
      </c>
      <c r="D13" s="60">
        <v>4</v>
      </c>
      <c r="E13" s="60">
        <v>2</v>
      </c>
      <c r="F13" s="61">
        <f t="shared" si="0"/>
        <v>13</v>
      </c>
      <c r="G13" s="62">
        <f t="shared" si="5"/>
        <v>53.846153846153847</v>
      </c>
      <c r="H13" s="63">
        <f t="shared" si="6"/>
        <v>0</v>
      </c>
      <c r="I13" s="62">
        <f t="shared" si="1"/>
        <v>30.76923076923077</v>
      </c>
      <c r="J13" s="63">
        <f t="shared" si="2"/>
        <v>0</v>
      </c>
      <c r="K13" s="62">
        <f t="shared" si="3"/>
        <v>15.384615384615385</v>
      </c>
      <c r="L13" s="63">
        <f t="shared" si="4"/>
        <v>0</v>
      </c>
      <c r="M13" s="63">
        <v>100</v>
      </c>
      <c r="N13" s="63">
        <v>100</v>
      </c>
      <c r="O13" s="63">
        <v>100</v>
      </c>
    </row>
    <row r="14" spans="2:15" x14ac:dyDescent="0.2">
      <c r="B14" s="1" t="s">
        <v>41</v>
      </c>
      <c r="C14" s="60"/>
      <c r="D14" s="60"/>
      <c r="E14" s="60"/>
      <c r="F14" s="61">
        <f t="shared" si="0"/>
        <v>0</v>
      </c>
      <c r="G14" s="62"/>
      <c r="H14" s="63">
        <f t="shared" si="6"/>
        <v>0</v>
      </c>
      <c r="I14" s="62"/>
      <c r="J14" s="63">
        <f t="shared" si="2"/>
        <v>0</v>
      </c>
      <c r="K14" s="62"/>
      <c r="L14" s="63">
        <f t="shared" si="4"/>
        <v>0</v>
      </c>
      <c r="M14" s="63">
        <v>100</v>
      </c>
      <c r="N14" s="63">
        <v>100</v>
      </c>
      <c r="O14" s="63">
        <v>100</v>
      </c>
    </row>
    <row r="15" spans="2:15" x14ac:dyDescent="0.2">
      <c r="B15" s="1" t="s">
        <v>42</v>
      </c>
      <c r="C15" s="60">
        <v>5</v>
      </c>
      <c r="D15" s="60">
        <v>1</v>
      </c>
      <c r="E15" s="60">
        <v>1</v>
      </c>
      <c r="F15" s="61">
        <f t="shared" si="0"/>
        <v>7</v>
      </c>
      <c r="G15" s="62">
        <f t="shared" ref="G15:G24" si="7">C15/F15*100</f>
        <v>71.428571428571431</v>
      </c>
      <c r="H15" s="63">
        <f t="shared" si="6"/>
        <v>0</v>
      </c>
      <c r="I15" s="62">
        <f t="shared" ref="I15:I24" si="8">D15/F15*100</f>
        <v>14.285714285714285</v>
      </c>
      <c r="J15" s="63">
        <f t="shared" si="2"/>
        <v>0</v>
      </c>
      <c r="K15" s="62">
        <f t="shared" ref="K15:K24" si="9">E15/F15*100</f>
        <v>14.285714285714285</v>
      </c>
      <c r="L15" s="63">
        <f t="shared" si="4"/>
        <v>0</v>
      </c>
      <c r="M15" s="63">
        <v>100</v>
      </c>
      <c r="N15" s="63">
        <v>100</v>
      </c>
      <c r="O15" s="63">
        <v>100</v>
      </c>
    </row>
    <row r="16" spans="2:15" s="52" customFormat="1" x14ac:dyDescent="0.2">
      <c r="B16" s="51" t="s">
        <v>43</v>
      </c>
      <c r="C16" s="75">
        <v>3</v>
      </c>
      <c r="D16" s="75">
        <v>4</v>
      </c>
      <c r="E16" s="75">
        <v>3</v>
      </c>
      <c r="F16" s="72">
        <f t="shared" si="0"/>
        <v>10</v>
      </c>
      <c r="G16" s="73">
        <f t="shared" si="7"/>
        <v>30</v>
      </c>
      <c r="H16" s="74">
        <f t="shared" si="6"/>
        <v>0</v>
      </c>
      <c r="I16" s="73">
        <f t="shared" si="8"/>
        <v>40</v>
      </c>
      <c r="J16" s="74">
        <f t="shared" si="2"/>
        <v>0</v>
      </c>
      <c r="K16" s="73">
        <f t="shared" si="9"/>
        <v>30</v>
      </c>
      <c r="L16" s="74">
        <f t="shared" si="4"/>
        <v>0</v>
      </c>
      <c r="M16" s="63">
        <v>100</v>
      </c>
      <c r="N16" s="63">
        <v>100</v>
      </c>
      <c r="O16" s="63">
        <v>100</v>
      </c>
    </row>
    <row r="17" spans="2:15" x14ac:dyDescent="0.2">
      <c r="B17" s="1" t="s">
        <v>44</v>
      </c>
      <c r="C17" s="60">
        <v>1</v>
      </c>
      <c r="D17" s="60">
        <v>7</v>
      </c>
      <c r="E17" s="60">
        <v>2</v>
      </c>
      <c r="F17" s="61">
        <f t="shared" si="0"/>
        <v>10</v>
      </c>
      <c r="G17" s="62">
        <f t="shared" si="7"/>
        <v>10</v>
      </c>
      <c r="H17" s="63">
        <f t="shared" si="6"/>
        <v>0</v>
      </c>
      <c r="I17" s="62">
        <f t="shared" si="8"/>
        <v>70</v>
      </c>
      <c r="J17" s="63">
        <f t="shared" si="2"/>
        <v>0</v>
      </c>
      <c r="K17" s="62">
        <f t="shared" si="9"/>
        <v>20</v>
      </c>
      <c r="L17" s="63">
        <f t="shared" si="4"/>
        <v>0</v>
      </c>
      <c r="M17" s="63">
        <v>100</v>
      </c>
      <c r="N17" s="63">
        <v>100</v>
      </c>
      <c r="O17" s="63">
        <v>100</v>
      </c>
    </row>
    <row r="18" spans="2:15" x14ac:dyDescent="0.2">
      <c r="B18" s="1" t="s">
        <v>45</v>
      </c>
      <c r="C18" s="60">
        <v>12</v>
      </c>
      <c r="D18" s="60">
        <v>6</v>
      </c>
      <c r="E18" s="60">
        <v>1</v>
      </c>
      <c r="F18" s="61">
        <f t="shared" si="0"/>
        <v>19</v>
      </c>
      <c r="G18" s="62">
        <f t="shared" si="7"/>
        <v>63.157894736842103</v>
      </c>
      <c r="H18" s="63">
        <f t="shared" si="6"/>
        <v>0</v>
      </c>
      <c r="I18" s="62">
        <f t="shared" si="8"/>
        <v>31.578947368421051</v>
      </c>
      <c r="J18" s="63">
        <f t="shared" si="2"/>
        <v>0</v>
      </c>
      <c r="K18" s="62">
        <f t="shared" si="9"/>
        <v>5.2631578947368416</v>
      </c>
      <c r="L18" s="63">
        <f t="shared" si="4"/>
        <v>0</v>
      </c>
      <c r="M18" s="63">
        <v>100</v>
      </c>
      <c r="N18" s="63">
        <v>100</v>
      </c>
      <c r="O18" s="63">
        <v>100</v>
      </c>
    </row>
    <row r="19" spans="2:15" x14ac:dyDescent="0.2">
      <c r="B19" s="1" t="s">
        <v>46</v>
      </c>
      <c r="C19" s="60">
        <v>4</v>
      </c>
      <c r="D19" s="60">
        <v>6</v>
      </c>
      <c r="E19" s="60">
        <v>1</v>
      </c>
      <c r="F19" s="61">
        <f t="shared" si="0"/>
        <v>11</v>
      </c>
      <c r="G19" s="62">
        <f t="shared" si="7"/>
        <v>36.363636363636367</v>
      </c>
      <c r="H19" s="63">
        <f t="shared" si="6"/>
        <v>0</v>
      </c>
      <c r="I19" s="62">
        <f t="shared" si="8"/>
        <v>54.54545454545454</v>
      </c>
      <c r="J19" s="63">
        <f t="shared" si="2"/>
        <v>0</v>
      </c>
      <c r="K19" s="62">
        <f t="shared" si="9"/>
        <v>9.0909090909090917</v>
      </c>
      <c r="L19" s="63">
        <f t="shared" si="4"/>
        <v>0</v>
      </c>
      <c r="M19" s="63">
        <v>100</v>
      </c>
      <c r="N19" s="63">
        <v>100</v>
      </c>
      <c r="O19" s="63">
        <v>100</v>
      </c>
    </row>
    <row r="20" spans="2:15" x14ac:dyDescent="0.2">
      <c r="B20" s="1" t="s">
        <v>47</v>
      </c>
      <c r="C20" s="60">
        <v>10</v>
      </c>
      <c r="D20" s="60">
        <v>3</v>
      </c>
      <c r="E20" s="60"/>
      <c r="F20" s="61">
        <f t="shared" si="0"/>
        <v>13</v>
      </c>
      <c r="G20" s="62">
        <f t="shared" si="7"/>
        <v>76.923076923076934</v>
      </c>
      <c r="H20" s="63">
        <f t="shared" si="6"/>
        <v>0</v>
      </c>
      <c r="I20" s="62">
        <f t="shared" si="8"/>
        <v>23.076923076923077</v>
      </c>
      <c r="J20" s="63">
        <f t="shared" si="2"/>
        <v>0</v>
      </c>
      <c r="K20" s="62">
        <f t="shared" si="9"/>
        <v>0</v>
      </c>
      <c r="L20" s="63">
        <f t="shared" si="4"/>
        <v>0</v>
      </c>
      <c r="M20" s="63">
        <v>100</v>
      </c>
      <c r="N20" s="63">
        <v>100</v>
      </c>
      <c r="O20" s="63">
        <v>100</v>
      </c>
    </row>
    <row r="21" spans="2:15" x14ac:dyDescent="0.2">
      <c r="B21" s="1" t="s">
        <v>48</v>
      </c>
      <c r="C21" s="60">
        <v>4</v>
      </c>
      <c r="D21" s="60">
        <v>6</v>
      </c>
      <c r="E21" s="60"/>
      <c r="F21" s="61">
        <f t="shared" si="0"/>
        <v>10</v>
      </c>
      <c r="G21" s="62">
        <f t="shared" si="7"/>
        <v>40</v>
      </c>
      <c r="H21" s="63">
        <f t="shared" si="6"/>
        <v>0</v>
      </c>
      <c r="I21" s="62">
        <f t="shared" si="8"/>
        <v>60</v>
      </c>
      <c r="J21" s="63">
        <f t="shared" si="2"/>
        <v>0</v>
      </c>
      <c r="K21" s="62">
        <f t="shared" si="9"/>
        <v>0</v>
      </c>
      <c r="L21" s="63">
        <f t="shared" si="4"/>
        <v>0</v>
      </c>
      <c r="M21" s="63">
        <v>100</v>
      </c>
      <c r="N21" s="63">
        <v>100</v>
      </c>
      <c r="O21" s="63">
        <v>100</v>
      </c>
    </row>
    <row r="22" spans="2:15" x14ac:dyDescent="0.2">
      <c r="B22" s="1" t="s">
        <v>49</v>
      </c>
      <c r="C22" s="60">
        <v>1</v>
      </c>
      <c r="D22" s="60">
        <v>3</v>
      </c>
      <c r="E22" s="60">
        <v>1</v>
      </c>
      <c r="F22" s="61">
        <f t="shared" si="0"/>
        <v>5</v>
      </c>
      <c r="G22" s="62">
        <f t="shared" si="7"/>
        <v>20</v>
      </c>
      <c r="H22" s="63">
        <f t="shared" si="6"/>
        <v>0</v>
      </c>
      <c r="I22" s="62">
        <f t="shared" si="8"/>
        <v>60</v>
      </c>
      <c r="J22" s="63">
        <f t="shared" si="2"/>
        <v>0</v>
      </c>
      <c r="K22" s="62">
        <f t="shared" si="9"/>
        <v>20</v>
      </c>
      <c r="L22" s="63">
        <f t="shared" si="4"/>
        <v>0</v>
      </c>
      <c r="M22" s="63">
        <v>100</v>
      </c>
      <c r="N22" s="63">
        <v>100</v>
      </c>
      <c r="O22" s="63">
        <v>100</v>
      </c>
    </row>
    <row r="23" spans="2:15" x14ac:dyDescent="0.2">
      <c r="B23" s="1" t="s">
        <v>50</v>
      </c>
      <c r="C23" s="60">
        <v>20</v>
      </c>
      <c r="D23" s="60">
        <v>2</v>
      </c>
      <c r="E23" s="60"/>
      <c r="F23" s="61">
        <f t="shared" si="0"/>
        <v>22</v>
      </c>
      <c r="G23" s="62">
        <f t="shared" si="7"/>
        <v>90.909090909090907</v>
      </c>
      <c r="H23" s="63">
        <f t="shared" si="6"/>
        <v>0</v>
      </c>
      <c r="I23" s="62">
        <f t="shared" si="8"/>
        <v>9.0909090909090917</v>
      </c>
      <c r="J23" s="63">
        <f t="shared" si="2"/>
        <v>0</v>
      </c>
      <c r="K23" s="62">
        <f t="shared" si="9"/>
        <v>0</v>
      </c>
      <c r="L23" s="63">
        <f t="shared" si="4"/>
        <v>0</v>
      </c>
      <c r="M23" s="63">
        <v>100</v>
      </c>
      <c r="N23" s="63">
        <v>100</v>
      </c>
      <c r="O23" s="63">
        <v>100</v>
      </c>
    </row>
    <row r="24" spans="2:15" x14ac:dyDescent="0.2">
      <c r="B24" s="1" t="s">
        <v>71</v>
      </c>
      <c r="C24" s="60">
        <v>3</v>
      </c>
      <c r="D24" s="60">
        <v>2</v>
      </c>
      <c r="E24" s="60"/>
      <c r="F24" s="61">
        <f t="shared" si="0"/>
        <v>5</v>
      </c>
      <c r="G24" s="62">
        <f t="shared" si="7"/>
        <v>60</v>
      </c>
      <c r="H24" s="63">
        <f t="shared" si="6"/>
        <v>0</v>
      </c>
      <c r="I24" s="62">
        <f t="shared" si="8"/>
        <v>40</v>
      </c>
      <c r="J24" s="63">
        <f t="shared" si="2"/>
        <v>0</v>
      </c>
      <c r="K24" s="62">
        <f t="shared" si="9"/>
        <v>0</v>
      </c>
      <c r="L24" s="63">
        <f t="shared" si="4"/>
        <v>0</v>
      </c>
      <c r="M24" s="63">
        <v>100</v>
      </c>
      <c r="N24" s="63">
        <v>100</v>
      </c>
      <c r="O24" s="63">
        <v>100</v>
      </c>
    </row>
    <row r="25" spans="2:15" x14ac:dyDescent="0.2">
      <c r="B25" s="52"/>
      <c r="C25" s="68"/>
      <c r="D25" s="68"/>
      <c r="E25" s="68"/>
      <c r="M25" s="69"/>
      <c r="N25" s="69"/>
      <c r="O25" s="69"/>
    </row>
    <row r="27" spans="2:15" x14ac:dyDescent="0.2">
      <c r="C27" s="64" t="s">
        <v>97</v>
      </c>
      <c r="D27" s="162" t="s">
        <v>96</v>
      </c>
      <c r="E27" s="162"/>
      <c r="F27" s="162"/>
      <c r="G27" s="162"/>
      <c r="H27" s="163" t="s">
        <v>98</v>
      </c>
      <c r="I27" s="163"/>
      <c r="J27" s="163"/>
    </row>
    <row r="28" spans="2:15" x14ac:dyDescent="0.2">
      <c r="C28" s="64" t="s">
        <v>93</v>
      </c>
      <c r="D28" s="160" t="s">
        <v>92</v>
      </c>
    </row>
    <row r="29" spans="2:15" x14ac:dyDescent="0.2">
      <c r="D29" s="161" t="s">
        <v>94</v>
      </c>
    </row>
    <row r="30" spans="2:15" x14ac:dyDescent="0.2">
      <c r="D30" s="160" t="s">
        <v>95</v>
      </c>
    </row>
  </sheetData>
  <mergeCells count="5">
    <mergeCell ref="C3:E3"/>
    <mergeCell ref="G3:K3"/>
    <mergeCell ref="M3:O3"/>
    <mergeCell ref="D27:G27"/>
    <mergeCell ref="H27:J27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15A3-AA55-A840-B045-0308FFCFF1D2}">
  <dimension ref="A1:T37"/>
  <sheetViews>
    <sheetView topLeftCell="B13" workbookViewId="0">
      <selection activeCell="P28" sqref="P28"/>
    </sheetView>
  </sheetViews>
  <sheetFormatPr baseColWidth="10" defaultColWidth="8.83203125" defaultRowHeight="19" x14ac:dyDescent="0.25"/>
  <cols>
    <col min="1" max="1" width="6.5" style="101" customWidth="1"/>
    <col min="2" max="2" width="24.6640625" style="97" customWidth="1"/>
    <col min="3" max="5" width="11.1640625" style="102" customWidth="1"/>
    <col min="6" max="6" width="14.6640625" style="102" bestFit="1" customWidth="1"/>
    <col min="7" max="7" width="14.33203125" style="103" customWidth="1"/>
    <col min="8" max="8" width="11.1640625" style="103" customWidth="1"/>
    <col min="9" max="9" width="11.1640625" style="102" customWidth="1"/>
    <col min="10" max="10" width="15.33203125" style="102" customWidth="1"/>
    <col min="11" max="11" width="11.1640625" style="102" customWidth="1"/>
    <col min="12" max="12" width="13.33203125" style="102" customWidth="1"/>
    <col min="13" max="13" width="14.5" style="102" customWidth="1"/>
    <col min="14" max="14" width="9.1640625" style="97" bestFit="1" customWidth="1"/>
    <col min="15" max="15" width="11.1640625" style="97" customWidth="1"/>
    <col min="16" max="16" width="13" style="97" bestFit="1" customWidth="1"/>
    <col min="17" max="17" width="12.5" style="97" customWidth="1"/>
    <col min="18" max="18" width="14.5" style="97" customWidth="1"/>
    <col min="19" max="19" width="8.83203125" style="97"/>
    <col min="20" max="20" width="15.83203125" style="97" bestFit="1" customWidth="1"/>
    <col min="21" max="16384" width="8.83203125" style="97"/>
  </cols>
  <sheetData>
    <row r="1" spans="1:18" s="18" customFormat="1" ht="18" x14ac:dyDescent="0.2">
      <c r="A1" s="82" t="s">
        <v>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3" spans="1:18" s="96" customFormat="1" ht="69.75" customHeight="1" x14ac:dyDescent="0.2">
      <c r="A3" s="33" t="s">
        <v>0</v>
      </c>
      <c r="B3" s="33" t="s">
        <v>1</v>
      </c>
      <c r="C3" s="34" t="s">
        <v>63</v>
      </c>
      <c r="D3" s="93" t="s">
        <v>78</v>
      </c>
      <c r="E3" s="94"/>
      <c r="F3" s="95"/>
      <c r="G3" s="93" t="s">
        <v>79</v>
      </c>
      <c r="H3" s="94"/>
      <c r="I3" s="95"/>
      <c r="J3" s="93" t="s">
        <v>80</v>
      </c>
      <c r="K3" s="94"/>
      <c r="L3" s="95"/>
      <c r="M3" s="34" t="s">
        <v>27</v>
      </c>
      <c r="N3" s="33" t="s">
        <v>22</v>
      </c>
      <c r="O3" s="33" t="s">
        <v>23</v>
      </c>
      <c r="P3" s="33" t="s">
        <v>24</v>
      </c>
      <c r="Q3" s="34" t="s">
        <v>25</v>
      </c>
      <c r="R3" s="33" t="s">
        <v>26</v>
      </c>
    </row>
    <row r="4" spans="1:18" s="96" customFormat="1" ht="69.75" customHeight="1" x14ac:dyDescent="0.2">
      <c r="A4" s="33"/>
      <c r="B4" s="33"/>
      <c r="C4" s="34"/>
      <c r="D4" s="34" t="s">
        <v>76</v>
      </c>
      <c r="E4" s="34" t="s">
        <v>70</v>
      </c>
      <c r="F4" s="34" t="s">
        <v>77</v>
      </c>
      <c r="G4" s="53" t="s">
        <v>76</v>
      </c>
      <c r="H4" s="53" t="s">
        <v>70</v>
      </c>
      <c r="I4" s="34" t="s">
        <v>77</v>
      </c>
      <c r="J4" s="34" t="s">
        <v>76</v>
      </c>
      <c r="K4" s="34" t="s">
        <v>70</v>
      </c>
      <c r="L4" s="34" t="s">
        <v>77</v>
      </c>
      <c r="M4" s="34"/>
      <c r="N4" s="33"/>
      <c r="O4" s="33"/>
      <c r="P4" s="33"/>
      <c r="Q4" s="34"/>
      <c r="R4" s="33"/>
    </row>
    <row r="5" spans="1:18" x14ac:dyDescent="0.25">
      <c r="A5" s="35">
        <v>1</v>
      </c>
      <c r="B5" s="1" t="s">
        <v>32</v>
      </c>
      <c r="C5" s="2">
        <f t="shared" ref="C5:C6" si="0">234000/8</f>
        <v>29250</v>
      </c>
      <c r="D5" s="2">
        <v>2.2857142857142856</v>
      </c>
      <c r="E5" s="2">
        <v>100</v>
      </c>
      <c r="F5" s="81">
        <f>E5/100*D5*C5*22</f>
        <v>1470857.1428571427</v>
      </c>
      <c r="G5" s="54">
        <v>4.5714285714285712</v>
      </c>
      <c r="H5" s="54">
        <v>100</v>
      </c>
      <c r="I5" s="2">
        <f>G5*C5*22*1.6*H5/100</f>
        <v>4706742.8571428573</v>
      </c>
      <c r="J5" s="54">
        <v>1.1428571428571428</v>
      </c>
      <c r="K5" s="2">
        <v>100</v>
      </c>
      <c r="L5" s="2">
        <f>K5/100*J5*C5*3*22</f>
        <v>2206285.7142857146</v>
      </c>
      <c r="M5" s="2">
        <f>I5+L5+F5</f>
        <v>8383885.7142857146</v>
      </c>
      <c r="N5" s="36">
        <v>3.66</v>
      </c>
      <c r="O5" s="2">
        <f>N5*2340000*10.5%</f>
        <v>899262</v>
      </c>
      <c r="P5" s="2">
        <f t="shared" ref="P5:P9" si="1">N5*2340000-O5</f>
        <v>7665138</v>
      </c>
      <c r="Q5" s="2">
        <f>P5*40%</f>
        <v>3066055.2</v>
      </c>
      <c r="R5" s="2">
        <f>M5-Q5</f>
        <v>5317830.5142857144</v>
      </c>
    </row>
    <row r="6" spans="1:18" x14ac:dyDescent="0.25">
      <c r="A6" s="35">
        <v>2</v>
      </c>
      <c r="B6" s="1" t="s">
        <v>33</v>
      </c>
      <c r="C6" s="2">
        <f t="shared" si="0"/>
        <v>29250</v>
      </c>
      <c r="D6" s="2">
        <v>0.5</v>
      </c>
      <c r="E6" s="2">
        <v>100</v>
      </c>
      <c r="F6" s="81">
        <f t="shared" ref="F6:F24" si="2">E6/100*D6*C6*22</f>
        <v>321750</v>
      </c>
      <c r="G6" s="54">
        <v>5.5</v>
      </c>
      <c r="H6" s="54">
        <v>100</v>
      </c>
      <c r="I6" s="2">
        <f t="shared" ref="I6:I22" si="3">G6*C6*22*1.6*H6/100</f>
        <v>5662800</v>
      </c>
      <c r="J6" s="54">
        <v>2</v>
      </c>
      <c r="K6" s="2">
        <v>100</v>
      </c>
      <c r="L6" s="2">
        <f t="shared" ref="L6:L24" si="4">K6/100*J6*C6*3*22</f>
        <v>3861000</v>
      </c>
      <c r="M6" s="2">
        <f t="shared" ref="M6:M24" si="5">I6+L6+F6</f>
        <v>9845550</v>
      </c>
      <c r="N6" s="36">
        <v>3.66</v>
      </c>
      <c r="O6" s="2">
        <f t="shared" ref="O6:O24" si="6">N6*2340000*10.5%</f>
        <v>899262</v>
      </c>
      <c r="P6" s="2">
        <f t="shared" si="1"/>
        <v>7665138</v>
      </c>
      <c r="Q6" s="2">
        <f t="shared" ref="Q6:Q24" si="7">P6*40%</f>
        <v>3066055.2</v>
      </c>
      <c r="R6" s="2">
        <f>M6-Q6</f>
        <v>6779494.7999999998</v>
      </c>
    </row>
    <row r="7" spans="1:18" x14ac:dyDescent="0.25">
      <c r="A7" s="35">
        <v>3</v>
      </c>
      <c r="B7" s="1" t="s">
        <v>34</v>
      </c>
      <c r="C7" s="2">
        <f>234000/8</f>
        <v>29250</v>
      </c>
      <c r="D7" s="2">
        <v>2.2857142857142856</v>
      </c>
      <c r="E7" s="2">
        <v>100</v>
      </c>
      <c r="F7" s="81">
        <f t="shared" si="2"/>
        <v>1470857.1428571427</v>
      </c>
      <c r="G7" s="54">
        <v>3.4285714285714284</v>
      </c>
      <c r="H7" s="54">
        <v>100</v>
      </c>
      <c r="I7" s="2">
        <f t="shared" si="3"/>
        <v>3530057.1428571427</v>
      </c>
      <c r="J7" s="54">
        <v>2.2857142857142856</v>
      </c>
      <c r="K7" s="2">
        <v>100</v>
      </c>
      <c r="L7" s="2">
        <f t="shared" si="4"/>
        <v>4412571.4285714291</v>
      </c>
      <c r="M7" s="2">
        <f t="shared" si="5"/>
        <v>9413485.7142857146</v>
      </c>
      <c r="N7" s="37">
        <v>3.06</v>
      </c>
      <c r="O7" s="2">
        <f t="shared" si="6"/>
        <v>751842</v>
      </c>
      <c r="P7" s="2">
        <f t="shared" si="1"/>
        <v>6408558</v>
      </c>
      <c r="Q7" s="2">
        <f t="shared" si="7"/>
        <v>2563423.2000000002</v>
      </c>
      <c r="R7" s="2">
        <f t="shared" ref="R7:R24" si="8">M7-Q7</f>
        <v>6850062.5142857144</v>
      </c>
    </row>
    <row r="8" spans="1:18" x14ac:dyDescent="0.25">
      <c r="A8" s="35">
        <v>4</v>
      </c>
      <c r="B8" s="1" t="s">
        <v>35</v>
      </c>
      <c r="C8" s="2">
        <f t="shared" ref="C8:C24" si="9">234000/8</f>
        <v>29250</v>
      </c>
      <c r="D8" s="2">
        <v>1.1428571428571428</v>
      </c>
      <c r="E8" s="2">
        <v>100</v>
      </c>
      <c r="F8" s="81">
        <f t="shared" si="2"/>
        <v>735428.57142857136</v>
      </c>
      <c r="G8" s="54">
        <v>3.4285714285714284</v>
      </c>
      <c r="H8" s="54">
        <v>100</v>
      </c>
      <c r="I8" s="2">
        <f t="shared" si="3"/>
        <v>3530057.1428571427</v>
      </c>
      <c r="J8" s="54">
        <v>3.4285714285714284</v>
      </c>
      <c r="K8" s="2">
        <v>100</v>
      </c>
      <c r="L8" s="2">
        <f t="shared" si="4"/>
        <v>6618857.1428571427</v>
      </c>
      <c r="M8" s="2">
        <f t="shared" si="5"/>
        <v>10884342.857142856</v>
      </c>
      <c r="N8" s="67">
        <v>3</v>
      </c>
      <c r="O8" s="2">
        <f t="shared" si="6"/>
        <v>737100</v>
      </c>
      <c r="P8" s="2">
        <f t="shared" si="1"/>
        <v>6282900</v>
      </c>
      <c r="Q8" s="2">
        <f t="shared" si="7"/>
        <v>2513160</v>
      </c>
      <c r="R8" s="2">
        <f t="shared" si="8"/>
        <v>8371182.8571428563</v>
      </c>
    </row>
    <row r="9" spans="1:18" x14ac:dyDescent="0.25">
      <c r="A9" s="35">
        <v>5</v>
      </c>
      <c r="B9" s="1" t="s">
        <v>36</v>
      </c>
      <c r="C9" s="2">
        <f t="shared" si="9"/>
        <v>29250</v>
      </c>
      <c r="D9" s="2">
        <v>0</v>
      </c>
      <c r="E9" s="2">
        <v>100</v>
      </c>
      <c r="F9" s="81">
        <f t="shared" si="2"/>
        <v>0</v>
      </c>
      <c r="G9" s="54">
        <v>8</v>
      </c>
      <c r="H9" s="54">
        <v>100</v>
      </c>
      <c r="I9" s="2">
        <f t="shared" si="3"/>
        <v>8236800</v>
      </c>
      <c r="J9" s="54">
        <v>0</v>
      </c>
      <c r="K9" s="2">
        <v>100</v>
      </c>
      <c r="L9" s="2">
        <f t="shared" si="4"/>
        <v>0</v>
      </c>
      <c r="M9" s="2">
        <f t="shared" si="5"/>
        <v>8236800</v>
      </c>
      <c r="N9" s="38">
        <v>3.06</v>
      </c>
      <c r="O9" s="2">
        <f t="shared" si="6"/>
        <v>751842</v>
      </c>
      <c r="P9" s="2">
        <f t="shared" si="1"/>
        <v>6408558</v>
      </c>
      <c r="Q9" s="2">
        <f t="shared" si="7"/>
        <v>2563423.2000000002</v>
      </c>
      <c r="R9" s="2">
        <f t="shared" si="8"/>
        <v>5673376.7999999998</v>
      </c>
    </row>
    <row r="10" spans="1:18" x14ac:dyDescent="0.25">
      <c r="A10" s="35">
        <v>6</v>
      </c>
      <c r="B10" s="1" t="s">
        <v>37</v>
      </c>
      <c r="C10" s="2">
        <f t="shared" si="9"/>
        <v>29250</v>
      </c>
      <c r="D10" s="2">
        <v>1</v>
      </c>
      <c r="E10" s="2">
        <v>100</v>
      </c>
      <c r="F10" s="81">
        <f t="shared" si="2"/>
        <v>643500</v>
      </c>
      <c r="G10" s="54">
        <v>5</v>
      </c>
      <c r="H10" s="54">
        <v>100</v>
      </c>
      <c r="I10" s="2">
        <f t="shared" si="3"/>
        <v>5148000</v>
      </c>
      <c r="J10" s="54">
        <v>2</v>
      </c>
      <c r="K10" s="2">
        <v>100</v>
      </c>
      <c r="L10" s="2">
        <f t="shared" si="4"/>
        <v>3861000</v>
      </c>
      <c r="M10" s="2">
        <f t="shared" si="5"/>
        <v>9652500</v>
      </c>
      <c r="N10" s="1">
        <v>2.34</v>
      </c>
      <c r="O10" s="2">
        <f t="shared" si="6"/>
        <v>574938</v>
      </c>
      <c r="P10" s="2">
        <f>N10*2340000-O10</f>
        <v>4900662</v>
      </c>
      <c r="Q10" s="2">
        <f t="shared" si="7"/>
        <v>1960264.8</v>
      </c>
      <c r="R10" s="2">
        <f t="shared" si="8"/>
        <v>7692235.2000000002</v>
      </c>
    </row>
    <row r="11" spans="1:18" x14ac:dyDescent="0.25">
      <c r="A11" s="35">
        <v>7</v>
      </c>
      <c r="B11" s="1" t="s">
        <v>38</v>
      </c>
      <c r="C11" s="2">
        <f t="shared" si="9"/>
        <v>29250</v>
      </c>
      <c r="D11" s="2">
        <v>5.333333333333333</v>
      </c>
      <c r="E11" s="2">
        <v>100</v>
      </c>
      <c r="F11" s="81">
        <f t="shared" si="2"/>
        <v>3432000</v>
      </c>
      <c r="G11" s="54">
        <v>2.6666666666666665</v>
      </c>
      <c r="H11" s="54">
        <v>100</v>
      </c>
      <c r="I11" s="2">
        <f t="shared" si="3"/>
        <v>2745600</v>
      </c>
      <c r="J11" s="54">
        <v>0</v>
      </c>
      <c r="K11" s="2">
        <v>100</v>
      </c>
      <c r="L11" s="2">
        <f t="shared" si="4"/>
        <v>0</v>
      </c>
      <c r="M11" s="2">
        <f t="shared" si="5"/>
        <v>6177600</v>
      </c>
      <c r="N11" s="1"/>
      <c r="O11" s="2">
        <f>6615362*10.5%</f>
        <v>694613.01</v>
      </c>
      <c r="P11" s="2">
        <f>6615362-O11</f>
        <v>5920748.9900000002</v>
      </c>
      <c r="Q11" s="2">
        <f>P11*40%</f>
        <v>2368299.5960000004</v>
      </c>
      <c r="R11" s="2">
        <f t="shared" si="8"/>
        <v>3809300.4039999996</v>
      </c>
    </row>
    <row r="12" spans="1:18" x14ac:dyDescent="0.25">
      <c r="A12" s="35">
        <v>8</v>
      </c>
      <c r="B12" s="1" t="s">
        <v>39</v>
      </c>
      <c r="C12" s="2">
        <f t="shared" si="9"/>
        <v>29250</v>
      </c>
      <c r="D12" s="2">
        <v>2.6666666666666665</v>
      </c>
      <c r="E12" s="2">
        <v>100</v>
      </c>
      <c r="F12" s="81">
        <f t="shared" si="2"/>
        <v>1716000</v>
      </c>
      <c r="G12" s="54">
        <v>3.2</v>
      </c>
      <c r="H12" s="54">
        <v>100</v>
      </c>
      <c r="I12" s="2">
        <f t="shared" si="3"/>
        <v>3294720</v>
      </c>
      <c r="J12" s="54">
        <v>2.1333333333333333</v>
      </c>
      <c r="K12" s="2">
        <v>100</v>
      </c>
      <c r="L12" s="2">
        <f t="shared" si="4"/>
        <v>4118400</v>
      </c>
      <c r="M12" s="2">
        <f t="shared" si="5"/>
        <v>9129120</v>
      </c>
      <c r="N12" s="1">
        <v>3.66</v>
      </c>
      <c r="O12" s="2">
        <f t="shared" si="6"/>
        <v>899262</v>
      </c>
      <c r="P12" s="2">
        <f>N12*2340000-O12</f>
        <v>7665138</v>
      </c>
      <c r="Q12" s="2">
        <f t="shared" si="7"/>
        <v>3066055.2</v>
      </c>
      <c r="R12" s="2">
        <f t="shared" si="8"/>
        <v>6063064.7999999998</v>
      </c>
    </row>
    <row r="13" spans="1:18" x14ac:dyDescent="0.25">
      <c r="A13" s="35">
        <v>9</v>
      </c>
      <c r="B13" s="1" t="s">
        <v>40</v>
      </c>
      <c r="C13" s="2">
        <f t="shared" si="9"/>
        <v>29250</v>
      </c>
      <c r="D13" s="2">
        <v>4.3076923076923075</v>
      </c>
      <c r="E13" s="2">
        <v>100</v>
      </c>
      <c r="F13" s="81">
        <f t="shared" si="2"/>
        <v>2772000</v>
      </c>
      <c r="G13" s="54">
        <v>2.4615384615384617</v>
      </c>
      <c r="H13" s="54">
        <v>100</v>
      </c>
      <c r="I13" s="2">
        <f t="shared" si="3"/>
        <v>2534400</v>
      </c>
      <c r="J13" s="54">
        <v>1.2307692307692308</v>
      </c>
      <c r="K13" s="2">
        <v>100</v>
      </c>
      <c r="L13" s="2">
        <f t="shared" si="4"/>
        <v>2376000</v>
      </c>
      <c r="M13" s="2">
        <f t="shared" si="5"/>
        <v>7682400</v>
      </c>
      <c r="N13" s="1">
        <v>2.34</v>
      </c>
      <c r="O13" s="2">
        <f t="shared" si="6"/>
        <v>574938</v>
      </c>
      <c r="P13" s="2">
        <f>N13*2340000-O13</f>
        <v>4900662</v>
      </c>
      <c r="Q13" s="2">
        <f t="shared" si="7"/>
        <v>1960264.8</v>
      </c>
      <c r="R13" s="2">
        <f t="shared" si="8"/>
        <v>5722135.2000000002</v>
      </c>
    </row>
    <row r="14" spans="1:18" x14ac:dyDescent="0.25">
      <c r="A14" s="35">
        <v>10</v>
      </c>
      <c r="B14" s="1" t="s">
        <v>41</v>
      </c>
      <c r="C14" s="2">
        <f t="shared" si="9"/>
        <v>29250</v>
      </c>
      <c r="D14" s="2">
        <v>0</v>
      </c>
      <c r="E14" s="2">
        <v>100</v>
      </c>
      <c r="F14" s="81">
        <f t="shared" si="2"/>
        <v>0</v>
      </c>
      <c r="G14" s="54">
        <v>0</v>
      </c>
      <c r="H14" s="54">
        <v>100</v>
      </c>
      <c r="I14" s="2">
        <f t="shared" si="3"/>
        <v>0</v>
      </c>
      <c r="J14" s="54">
        <v>0</v>
      </c>
      <c r="K14" s="2">
        <v>100</v>
      </c>
      <c r="L14" s="2">
        <f t="shared" si="4"/>
        <v>0</v>
      </c>
      <c r="M14" s="2">
        <f t="shared" si="5"/>
        <v>0</v>
      </c>
      <c r="N14" s="1">
        <v>3</v>
      </c>
      <c r="O14" s="2">
        <f t="shared" si="6"/>
        <v>737100</v>
      </c>
      <c r="P14" s="2">
        <f t="shared" ref="P14:P24" si="10">N14*2340000-O14</f>
        <v>6282900</v>
      </c>
      <c r="Q14" s="2">
        <f t="shared" si="7"/>
        <v>2513160</v>
      </c>
      <c r="R14" s="2"/>
    </row>
    <row r="15" spans="1:18" x14ac:dyDescent="0.25">
      <c r="A15" s="35">
        <v>11</v>
      </c>
      <c r="B15" s="1" t="s">
        <v>42</v>
      </c>
      <c r="C15" s="2">
        <f t="shared" si="9"/>
        <v>29250</v>
      </c>
      <c r="D15" s="2">
        <v>5.7142857142857144</v>
      </c>
      <c r="E15" s="2">
        <v>100</v>
      </c>
      <c r="F15" s="81">
        <f t="shared" si="2"/>
        <v>3677142.8571428573</v>
      </c>
      <c r="G15" s="54">
        <v>1.1428571428571428</v>
      </c>
      <c r="H15" s="54">
        <v>100</v>
      </c>
      <c r="I15" s="2">
        <f t="shared" si="3"/>
        <v>1176685.7142857143</v>
      </c>
      <c r="J15" s="54">
        <v>1.1428571428571428</v>
      </c>
      <c r="K15" s="2">
        <v>100</v>
      </c>
      <c r="L15" s="2">
        <f t="shared" si="4"/>
        <v>2206285.7142857146</v>
      </c>
      <c r="M15" s="2">
        <f t="shared" si="5"/>
        <v>7060114.2857142864</v>
      </c>
      <c r="N15" s="1">
        <v>2.34</v>
      </c>
      <c r="O15" s="2">
        <f t="shared" si="6"/>
        <v>574938</v>
      </c>
      <c r="P15" s="2">
        <f t="shared" si="10"/>
        <v>4900662</v>
      </c>
      <c r="Q15" s="2">
        <f t="shared" si="7"/>
        <v>1960264.8</v>
      </c>
      <c r="R15" s="2">
        <f t="shared" si="8"/>
        <v>5099849.4857142866</v>
      </c>
    </row>
    <row r="16" spans="1:18" x14ac:dyDescent="0.25">
      <c r="A16" s="35">
        <v>12</v>
      </c>
      <c r="B16" s="1" t="s">
        <v>43</v>
      </c>
      <c r="C16" s="2">
        <f t="shared" si="9"/>
        <v>29250</v>
      </c>
      <c r="D16" s="2">
        <v>2.4</v>
      </c>
      <c r="E16" s="2">
        <v>100</v>
      </c>
      <c r="F16" s="81">
        <f t="shared" si="2"/>
        <v>1544400</v>
      </c>
      <c r="G16" s="54">
        <v>3.2</v>
      </c>
      <c r="H16" s="54">
        <v>100</v>
      </c>
      <c r="I16" s="2">
        <f t="shared" si="3"/>
        <v>3294720</v>
      </c>
      <c r="J16" s="54">
        <v>2.4</v>
      </c>
      <c r="K16" s="2">
        <v>100</v>
      </c>
      <c r="L16" s="2">
        <f t="shared" si="4"/>
        <v>4633200</v>
      </c>
      <c r="M16" s="2">
        <f t="shared" si="5"/>
        <v>9472320</v>
      </c>
      <c r="N16" s="1">
        <v>2.34</v>
      </c>
      <c r="O16" s="2">
        <f t="shared" si="6"/>
        <v>574938</v>
      </c>
      <c r="P16" s="2">
        <f t="shared" si="10"/>
        <v>4900662</v>
      </c>
      <c r="Q16" s="2">
        <f t="shared" si="7"/>
        <v>1960264.8</v>
      </c>
      <c r="R16" s="2">
        <f t="shared" si="8"/>
        <v>7512055.2000000002</v>
      </c>
    </row>
    <row r="17" spans="1:20" x14ac:dyDescent="0.25">
      <c r="A17" s="35">
        <v>13</v>
      </c>
      <c r="B17" s="1" t="s">
        <v>44</v>
      </c>
      <c r="C17" s="2">
        <f t="shared" si="9"/>
        <v>29250</v>
      </c>
      <c r="D17" s="2">
        <v>0.8</v>
      </c>
      <c r="E17" s="2">
        <v>100</v>
      </c>
      <c r="F17" s="81">
        <f t="shared" si="2"/>
        <v>514800</v>
      </c>
      <c r="G17" s="54">
        <v>5.6000000000000005</v>
      </c>
      <c r="H17" s="54">
        <v>100</v>
      </c>
      <c r="I17" s="2">
        <f t="shared" si="3"/>
        <v>5765760.0000000009</v>
      </c>
      <c r="J17" s="54">
        <v>1.6</v>
      </c>
      <c r="K17" s="2">
        <v>100</v>
      </c>
      <c r="L17" s="2">
        <f t="shared" si="4"/>
        <v>3088800</v>
      </c>
      <c r="M17" s="2">
        <f t="shared" si="5"/>
        <v>9369360</v>
      </c>
      <c r="N17" s="1">
        <v>3.33</v>
      </c>
      <c r="O17" s="2">
        <f t="shared" si="6"/>
        <v>818181</v>
      </c>
      <c r="P17" s="2">
        <f t="shared" si="10"/>
        <v>6974019</v>
      </c>
      <c r="Q17" s="2">
        <f t="shared" si="7"/>
        <v>2789607.6</v>
      </c>
      <c r="R17" s="2">
        <f t="shared" si="8"/>
        <v>6579752.4000000004</v>
      </c>
    </row>
    <row r="18" spans="1:20" x14ac:dyDescent="0.25">
      <c r="A18" s="35">
        <v>14</v>
      </c>
      <c r="B18" s="1" t="s">
        <v>45</v>
      </c>
      <c r="C18" s="2">
        <f t="shared" si="9"/>
        <v>29250</v>
      </c>
      <c r="D18" s="2">
        <v>5.0526315789473681</v>
      </c>
      <c r="E18" s="2">
        <v>100</v>
      </c>
      <c r="F18" s="81">
        <f t="shared" si="2"/>
        <v>3251368.421052631</v>
      </c>
      <c r="G18" s="54">
        <v>2.5263157894736841</v>
      </c>
      <c r="H18" s="54">
        <v>100</v>
      </c>
      <c r="I18" s="2">
        <f t="shared" si="3"/>
        <v>2601094.7368421052</v>
      </c>
      <c r="J18" s="54">
        <v>0.42105263157894735</v>
      </c>
      <c r="K18" s="2">
        <v>100</v>
      </c>
      <c r="L18" s="2">
        <f t="shared" si="4"/>
        <v>812842.10526315775</v>
      </c>
      <c r="M18" s="2">
        <f t="shared" si="5"/>
        <v>6665305.2631578939</v>
      </c>
      <c r="N18" s="1">
        <v>2.34</v>
      </c>
      <c r="O18" s="2">
        <f t="shared" si="6"/>
        <v>574938</v>
      </c>
      <c r="P18" s="2">
        <f t="shared" si="10"/>
        <v>4900662</v>
      </c>
      <c r="Q18" s="2">
        <f t="shared" si="7"/>
        <v>1960264.8</v>
      </c>
      <c r="R18" s="2">
        <f t="shared" si="8"/>
        <v>4705040.4631578941</v>
      </c>
    </row>
    <row r="19" spans="1:20" x14ac:dyDescent="0.25">
      <c r="A19" s="35">
        <v>15</v>
      </c>
      <c r="B19" s="1" t="s">
        <v>46</v>
      </c>
      <c r="C19" s="2">
        <f t="shared" si="9"/>
        <v>29250</v>
      </c>
      <c r="D19" s="2">
        <v>2.9090909090909096</v>
      </c>
      <c r="E19" s="2">
        <v>100</v>
      </c>
      <c r="F19" s="81">
        <f t="shared" si="2"/>
        <v>1872000.0000000002</v>
      </c>
      <c r="G19" s="54">
        <v>4.3636363636363633</v>
      </c>
      <c r="H19" s="54">
        <v>100</v>
      </c>
      <c r="I19" s="2">
        <f t="shared" si="3"/>
        <v>4492800</v>
      </c>
      <c r="J19" s="54">
        <v>0.7272727272727274</v>
      </c>
      <c r="K19" s="2">
        <v>100</v>
      </c>
      <c r="L19" s="2">
        <f t="shared" si="4"/>
        <v>1404000</v>
      </c>
      <c r="M19" s="2">
        <f t="shared" si="5"/>
        <v>7768800</v>
      </c>
      <c r="N19" s="1">
        <v>2.34</v>
      </c>
      <c r="O19" s="2">
        <f t="shared" si="6"/>
        <v>574938</v>
      </c>
      <c r="P19" s="2">
        <f t="shared" si="10"/>
        <v>4900662</v>
      </c>
      <c r="Q19" s="2">
        <f t="shared" si="7"/>
        <v>1960264.8</v>
      </c>
      <c r="R19" s="2">
        <f t="shared" si="8"/>
        <v>5808535.2000000002</v>
      </c>
    </row>
    <row r="20" spans="1:20" s="98" customFormat="1" x14ac:dyDescent="0.25">
      <c r="A20" s="35">
        <v>16</v>
      </c>
      <c r="B20" s="1" t="s">
        <v>47</v>
      </c>
      <c r="C20" s="2">
        <f t="shared" si="9"/>
        <v>29250</v>
      </c>
      <c r="D20" s="99">
        <v>6.1538461538461551</v>
      </c>
      <c r="E20" s="2">
        <v>100</v>
      </c>
      <c r="F20" s="81">
        <f t="shared" si="2"/>
        <v>3960000.0000000005</v>
      </c>
      <c r="G20" s="100">
        <v>1.8461538461538463</v>
      </c>
      <c r="H20" s="54">
        <v>100</v>
      </c>
      <c r="I20" s="2">
        <f t="shared" si="3"/>
        <v>1900800</v>
      </c>
      <c r="J20" s="78">
        <v>0</v>
      </c>
      <c r="K20" s="2">
        <v>100</v>
      </c>
      <c r="L20" s="2">
        <f t="shared" si="4"/>
        <v>0</v>
      </c>
      <c r="M20" s="2">
        <f t="shared" si="5"/>
        <v>5860800</v>
      </c>
      <c r="N20" s="1">
        <v>1.9890000000000001</v>
      </c>
      <c r="O20" s="2">
        <f t="shared" si="6"/>
        <v>488697.3</v>
      </c>
      <c r="P20" s="2">
        <f t="shared" si="10"/>
        <v>4165562.7</v>
      </c>
      <c r="Q20" s="2">
        <f t="shared" si="7"/>
        <v>1666225.08</v>
      </c>
      <c r="R20" s="2">
        <f t="shared" si="8"/>
        <v>4194574.92</v>
      </c>
    </row>
    <row r="21" spans="1:20" x14ac:dyDescent="0.25">
      <c r="A21" s="35">
        <v>17</v>
      </c>
      <c r="B21" s="1" t="s">
        <v>48</v>
      </c>
      <c r="C21" s="2">
        <f t="shared" si="9"/>
        <v>29250</v>
      </c>
      <c r="D21" s="99">
        <v>3.2</v>
      </c>
      <c r="E21" s="2">
        <v>100</v>
      </c>
      <c r="F21" s="81">
        <f t="shared" si="2"/>
        <v>2059200</v>
      </c>
      <c r="G21" s="100">
        <v>4.8</v>
      </c>
      <c r="H21" s="54">
        <v>100</v>
      </c>
      <c r="I21" s="2">
        <f t="shared" si="3"/>
        <v>4942080</v>
      </c>
      <c r="J21" s="100">
        <v>0</v>
      </c>
      <c r="K21" s="2">
        <v>100</v>
      </c>
      <c r="L21" s="2">
        <f t="shared" si="4"/>
        <v>0</v>
      </c>
      <c r="M21" s="2">
        <f t="shared" si="5"/>
        <v>7001280</v>
      </c>
      <c r="N21" s="1">
        <v>1.9890000000000001</v>
      </c>
      <c r="O21" s="2">
        <f t="shared" si="6"/>
        <v>488697.3</v>
      </c>
      <c r="P21" s="2">
        <f t="shared" si="10"/>
        <v>4165562.7</v>
      </c>
      <c r="Q21" s="2">
        <f t="shared" si="7"/>
        <v>1666225.08</v>
      </c>
      <c r="R21" s="2">
        <f t="shared" si="8"/>
        <v>5335054.92</v>
      </c>
    </row>
    <row r="22" spans="1:20" x14ac:dyDescent="0.25">
      <c r="A22" s="35">
        <v>18</v>
      </c>
      <c r="B22" s="1" t="s">
        <v>49</v>
      </c>
      <c r="C22" s="2">
        <f t="shared" si="9"/>
        <v>29250</v>
      </c>
      <c r="D22" s="99">
        <v>1.6</v>
      </c>
      <c r="E22" s="2">
        <v>100</v>
      </c>
      <c r="F22" s="81">
        <f t="shared" si="2"/>
        <v>1029600</v>
      </c>
      <c r="G22" s="100">
        <v>4.8</v>
      </c>
      <c r="H22" s="54">
        <v>100</v>
      </c>
      <c r="I22" s="2">
        <f t="shared" si="3"/>
        <v>4942080</v>
      </c>
      <c r="J22" s="100">
        <v>1.6</v>
      </c>
      <c r="K22" s="2">
        <v>100</v>
      </c>
      <c r="L22" s="2">
        <f t="shared" si="4"/>
        <v>3088800</v>
      </c>
      <c r="M22" s="2">
        <f t="shared" si="5"/>
        <v>9060480</v>
      </c>
      <c r="N22" s="1">
        <v>1.9890000000000001</v>
      </c>
      <c r="O22" s="2">
        <f t="shared" si="6"/>
        <v>488697.3</v>
      </c>
      <c r="P22" s="2">
        <f t="shared" si="10"/>
        <v>4165562.7</v>
      </c>
      <c r="Q22" s="2">
        <f t="shared" si="7"/>
        <v>1666225.08</v>
      </c>
      <c r="R22" s="2">
        <f t="shared" si="8"/>
        <v>7394254.9199999999</v>
      </c>
    </row>
    <row r="23" spans="1:20" x14ac:dyDescent="0.25">
      <c r="A23" s="35">
        <v>1</v>
      </c>
      <c r="B23" s="1" t="s">
        <v>50</v>
      </c>
      <c r="C23" s="2">
        <f t="shared" si="9"/>
        <v>29250</v>
      </c>
      <c r="D23" s="2">
        <v>7.2727272727272725</v>
      </c>
      <c r="E23" s="2">
        <v>100</v>
      </c>
      <c r="F23" s="81">
        <f t="shared" si="2"/>
        <v>4680000</v>
      </c>
      <c r="G23" s="54">
        <v>0.7272727272727274</v>
      </c>
      <c r="H23" s="54">
        <v>100</v>
      </c>
      <c r="I23" s="2">
        <f t="shared" ref="I23:I24" si="11">G23*C23*22*1.5*H23/100</f>
        <v>702000.00000000012</v>
      </c>
      <c r="J23" s="54">
        <v>0</v>
      </c>
      <c r="K23" s="2">
        <v>100</v>
      </c>
      <c r="L23" s="2">
        <f t="shared" si="4"/>
        <v>0</v>
      </c>
      <c r="M23" s="2">
        <f t="shared" si="5"/>
        <v>5382000</v>
      </c>
      <c r="N23" s="1">
        <v>2.34</v>
      </c>
      <c r="O23" s="2">
        <f t="shared" si="6"/>
        <v>574938</v>
      </c>
      <c r="P23" s="2">
        <f t="shared" si="10"/>
        <v>4900662</v>
      </c>
      <c r="Q23" s="2">
        <f t="shared" si="7"/>
        <v>1960264.8</v>
      </c>
      <c r="R23" s="2">
        <f t="shared" si="8"/>
        <v>3421735.2</v>
      </c>
    </row>
    <row r="24" spans="1:20" x14ac:dyDescent="0.25">
      <c r="A24" s="35">
        <v>2</v>
      </c>
      <c r="B24" s="1" t="s">
        <v>71</v>
      </c>
      <c r="C24" s="2">
        <f t="shared" si="9"/>
        <v>29250</v>
      </c>
      <c r="D24" s="2">
        <v>4.8</v>
      </c>
      <c r="E24" s="2">
        <v>100</v>
      </c>
      <c r="F24" s="81">
        <f t="shared" si="2"/>
        <v>3088800</v>
      </c>
      <c r="G24" s="54">
        <v>3.2</v>
      </c>
      <c r="H24" s="54">
        <v>100</v>
      </c>
      <c r="I24" s="2">
        <f t="shared" si="11"/>
        <v>3088800</v>
      </c>
      <c r="J24" s="54">
        <v>0</v>
      </c>
      <c r="K24" s="2">
        <v>100</v>
      </c>
      <c r="L24" s="2">
        <f t="shared" si="4"/>
        <v>0</v>
      </c>
      <c r="M24" s="2">
        <f t="shared" si="5"/>
        <v>6177600</v>
      </c>
      <c r="N24" s="1">
        <v>3.34</v>
      </c>
      <c r="O24" s="2">
        <f t="shared" si="6"/>
        <v>820638</v>
      </c>
      <c r="P24" s="2">
        <f t="shared" si="10"/>
        <v>6994962</v>
      </c>
      <c r="Q24" s="2">
        <f t="shared" si="7"/>
        <v>2797984.8000000003</v>
      </c>
      <c r="R24" s="2">
        <f t="shared" si="8"/>
        <v>3379615.1999999997</v>
      </c>
    </row>
    <row r="25" spans="1:20" x14ac:dyDescent="0.25">
      <c r="F25" s="102">
        <v>1</v>
      </c>
      <c r="I25" s="103">
        <v>1.6</v>
      </c>
      <c r="L25" s="102">
        <v>3</v>
      </c>
      <c r="R25" s="102">
        <f>SUM(R5:R24)</f>
        <v>109709150.99858648</v>
      </c>
    </row>
    <row r="26" spans="1:20" x14ac:dyDescent="0.25">
      <c r="O26" s="18"/>
      <c r="P26" s="50"/>
    </row>
    <row r="27" spans="1:20" s="16" customFormat="1" ht="63.75" customHeight="1" x14ac:dyDescent="0.2">
      <c r="A27" s="15"/>
      <c r="B27" s="15"/>
      <c r="C27" s="13" t="s">
        <v>65</v>
      </c>
      <c r="D27" s="13" t="s">
        <v>29</v>
      </c>
      <c r="E27" s="13" t="s">
        <v>31</v>
      </c>
      <c r="F27" s="13" t="s">
        <v>30</v>
      </c>
      <c r="G27" s="13" t="s">
        <v>64</v>
      </c>
      <c r="H27" s="14" t="s">
        <v>22</v>
      </c>
      <c r="I27" s="14" t="s">
        <v>23</v>
      </c>
      <c r="J27" s="14" t="s">
        <v>24</v>
      </c>
      <c r="K27" s="13" t="s">
        <v>25</v>
      </c>
      <c r="L27" s="14" t="s">
        <v>26</v>
      </c>
    </row>
    <row r="28" spans="1:20" customFormat="1" ht="18" x14ac:dyDescent="0.2">
      <c r="A28" s="35">
        <v>1</v>
      </c>
      <c r="B28" s="1" t="s">
        <v>61</v>
      </c>
      <c r="C28" s="2">
        <v>2340000</v>
      </c>
      <c r="D28" s="54">
        <v>9</v>
      </c>
      <c r="E28" s="2"/>
      <c r="F28" s="2">
        <v>100</v>
      </c>
      <c r="G28" s="32">
        <f>C28*D28*((E28+F28)/100)</f>
        <v>21060000</v>
      </c>
      <c r="H28" s="1">
        <v>4.9800000000000004</v>
      </c>
      <c r="I28" s="2">
        <f>H28*2340000*10.5%</f>
        <v>1223586.0000000002</v>
      </c>
      <c r="J28" s="2">
        <f t="shared" ref="J28:J30" si="12">H28*2340000-I28</f>
        <v>10429614.000000002</v>
      </c>
      <c r="K28" s="2"/>
      <c r="L28" s="2">
        <f>G28-K28</f>
        <v>21060000</v>
      </c>
      <c r="M28" s="3"/>
      <c r="O28" t="s">
        <v>62</v>
      </c>
      <c r="P28" s="119">
        <v>163000000</v>
      </c>
      <c r="T28" s="49"/>
    </row>
    <row r="29" spans="1:20" customFormat="1" ht="18" x14ac:dyDescent="0.2">
      <c r="A29" s="35">
        <v>2</v>
      </c>
      <c r="B29" s="1" t="s">
        <v>51</v>
      </c>
      <c r="C29" s="2">
        <v>2340000</v>
      </c>
      <c r="D29" s="54">
        <v>8.5</v>
      </c>
      <c r="E29" s="2">
        <v>100</v>
      </c>
      <c r="F29" s="2">
        <v>100</v>
      </c>
      <c r="G29" s="32">
        <f t="shared" ref="G29:G30" si="13">C29*D29*((E29+F29)/2)/100</f>
        <v>19890000</v>
      </c>
      <c r="H29" s="1">
        <v>4.32</v>
      </c>
      <c r="I29" s="2">
        <f t="shared" ref="I29:I30" si="14">H29*2340000*10.5%</f>
        <v>1061424</v>
      </c>
      <c r="J29" s="2">
        <f t="shared" si="12"/>
        <v>9047376</v>
      </c>
      <c r="K29" s="2">
        <f t="shared" ref="K29:K30" si="15">J29*40%</f>
        <v>3618950.4000000004</v>
      </c>
      <c r="L29" s="2">
        <f t="shared" ref="L29:L30" si="16">G29-K29</f>
        <v>16271049.6</v>
      </c>
      <c r="M29" s="3"/>
      <c r="P29" s="3">
        <f>R25+M31</f>
        <v>174064587.29858649</v>
      </c>
      <c r="T29" s="49"/>
    </row>
    <row r="30" spans="1:20" customFormat="1" ht="18" x14ac:dyDescent="0.2">
      <c r="A30" s="35">
        <v>3</v>
      </c>
      <c r="B30" s="1" t="s">
        <v>52</v>
      </c>
      <c r="C30" s="2">
        <v>2340000</v>
      </c>
      <c r="D30" s="54">
        <v>7.5</v>
      </c>
      <c r="E30" s="2">
        <v>100</v>
      </c>
      <c r="F30" s="2">
        <v>100</v>
      </c>
      <c r="G30" s="32">
        <f t="shared" si="13"/>
        <v>17550000</v>
      </c>
      <c r="H30" s="39">
        <v>4.32</v>
      </c>
      <c r="I30" s="2">
        <f t="shared" si="14"/>
        <v>1061424</v>
      </c>
      <c r="J30" s="2">
        <f t="shared" si="12"/>
        <v>9047376</v>
      </c>
      <c r="K30" s="2">
        <f t="shared" si="15"/>
        <v>3618950.4000000004</v>
      </c>
      <c r="L30" s="2">
        <f t="shared" si="16"/>
        <v>13931049.6</v>
      </c>
      <c r="M30" s="3"/>
      <c r="P30" s="3">
        <f>M37+R25</f>
        <v>175229156.99858648</v>
      </c>
      <c r="T30" s="49"/>
    </row>
    <row r="31" spans="1:20" x14ac:dyDescent="0.25">
      <c r="A31" s="35">
        <v>4</v>
      </c>
      <c r="B31" s="1" t="s">
        <v>81</v>
      </c>
      <c r="C31" s="2">
        <v>2340001</v>
      </c>
      <c r="D31" s="54">
        <v>7.5</v>
      </c>
      <c r="E31" s="2">
        <v>100</v>
      </c>
      <c r="F31" s="2">
        <v>100</v>
      </c>
      <c r="G31" s="32">
        <f t="shared" ref="G31" si="17">C31*D31*((E31+F31)/2)/100</f>
        <v>17550007.5</v>
      </c>
      <c r="H31" s="39">
        <v>5.32</v>
      </c>
      <c r="I31" s="2">
        <f t="shared" ref="I31" si="18">H31*2340000*10.5%</f>
        <v>1307124</v>
      </c>
      <c r="J31" s="2">
        <f t="shared" ref="J31" si="19">H31*2340000-I31</f>
        <v>11141676</v>
      </c>
      <c r="K31" s="2">
        <f t="shared" ref="K31" si="20">J31*40%</f>
        <v>4456670.4000000004</v>
      </c>
      <c r="L31" s="2">
        <f t="shared" ref="L31" si="21">G31-K31</f>
        <v>13093337.1</v>
      </c>
      <c r="M31" s="102">
        <f>SUM(L28:L31)</f>
        <v>64355436.300000004</v>
      </c>
    </row>
    <row r="33" spans="1:13" ht="45" x14ac:dyDescent="0.25">
      <c r="A33" s="15"/>
      <c r="B33" s="15"/>
      <c r="C33" s="13" t="s">
        <v>65</v>
      </c>
      <c r="D33" s="13" t="s">
        <v>29</v>
      </c>
      <c r="E33" s="13" t="s">
        <v>31</v>
      </c>
      <c r="F33" s="13" t="s">
        <v>30</v>
      </c>
      <c r="G33" s="13" t="s">
        <v>64</v>
      </c>
      <c r="H33" s="14" t="s">
        <v>22</v>
      </c>
      <c r="I33" s="14" t="s">
        <v>23</v>
      </c>
      <c r="J33" s="14" t="s">
        <v>24</v>
      </c>
      <c r="K33" s="13" t="s">
        <v>25</v>
      </c>
      <c r="L33" s="14" t="s">
        <v>26</v>
      </c>
    </row>
    <row r="34" spans="1:13" x14ac:dyDescent="0.25">
      <c r="A34" s="35">
        <v>1</v>
      </c>
      <c r="B34" s="1" t="s">
        <v>61</v>
      </c>
      <c r="C34" s="2">
        <v>2340000</v>
      </c>
      <c r="D34" s="54">
        <v>9</v>
      </c>
      <c r="E34" s="2"/>
      <c r="F34" s="2">
        <v>100</v>
      </c>
      <c r="G34" s="32">
        <f>C34*D34*((E34+F34)/100)</f>
        <v>21060000</v>
      </c>
      <c r="H34" s="1">
        <v>4.9800000000000004</v>
      </c>
      <c r="I34" s="2">
        <f>H34*2340000*10.5%</f>
        <v>1223586.0000000002</v>
      </c>
      <c r="J34" s="2">
        <f t="shared" ref="J34:J37" si="22">H34*2340000-I34</f>
        <v>10429614.000000002</v>
      </c>
      <c r="K34" s="2"/>
      <c r="L34" s="2">
        <f>G34-K34</f>
        <v>21060000</v>
      </c>
    </row>
    <row r="35" spans="1:13" x14ac:dyDescent="0.25">
      <c r="A35" s="35">
        <v>2</v>
      </c>
      <c r="B35" s="1" t="s">
        <v>51</v>
      </c>
      <c r="C35" s="2">
        <v>2340000</v>
      </c>
      <c r="D35" s="54">
        <v>7</v>
      </c>
      <c r="E35" s="2">
        <v>100</v>
      </c>
      <c r="F35" s="2">
        <v>100</v>
      </c>
      <c r="G35" s="32">
        <f t="shared" ref="G35:G37" si="23">C35*D35*((E35+F35)/2)/100</f>
        <v>16380000</v>
      </c>
      <c r="H35" s="1">
        <v>4.32</v>
      </c>
      <c r="I35" s="2">
        <f t="shared" ref="I35:I37" si="24">H35*2340000*10.5%</f>
        <v>1061424</v>
      </c>
      <c r="J35" s="2">
        <f t="shared" si="22"/>
        <v>9047376</v>
      </c>
      <c r="K35" s="2"/>
      <c r="L35" s="2">
        <f t="shared" ref="L35:L37" si="25">G35-K35</f>
        <v>16380000</v>
      </c>
    </row>
    <row r="36" spans="1:13" x14ac:dyDescent="0.25">
      <c r="A36" s="35">
        <v>3</v>
      </c>
      <c r="B36" s="1" t="s">
        <v>52</v>
      </c>
      <c r="C36" s="2">
        <v>2340000</v>
      </c>
      <c r="D36" s="54">
        <v>6</v>
      </c>
      <c r="E36" s="2">
        <v>100</v>
      </c>
      <c r="F36" s="2">
        <v>100</v>
      </c>
      <c r="G36" s="32">
        <f t="shared" si="23"/>
        <v>14040000</v>
      </c>
      <c r="H36" s="39">
        <v>4.32</v>
      </c>
      <c r="I36" s="2">
        <f t="shared" si="24"/>
        <v>1061424</v>
      </c>
      <c r="J36" s="2">
        <f t="shared" si="22"/>
        <v>9047376</v>
      </c>
      <c r="K36" s="2"/>
      <c r="L36" s="2">
        <f t="shared" si="25"/>
        <v>14040000</v>
      </c>
    </row>
    <row r="37" spans="1:13" x14ac:dyDescent="0.25">
      <c r="A37" s="35">
        <v>4</v>
      </c>
      <c r="B37" s="1" t="s">
        <v>81</v>
      </c>
      <c r="C37" s="2">
        <v>2340001</v>
      </c>
      <c r="D37" s="54">
        <v>6</v>
      </c>
      <c r="E37" s="2">
        <v>100</v>
      </c>
      <c r="F37" s="2">
        <v>100</v>
      </c>
      <c r="G37" s="32">
        <f t="shared" si="23"/>
        <v>14040006</v>
      </c>
      <c r="H37" s="39">
        <v>5.32</v>
      </c>
      <c r="I37" s="2">
        <f t="shared" si="24"/>
        <v>1307124</v>
      </c>
      <c r="J37" s="2">
        <f t="shared" si="22"/>
        <v>11141676</v>
      </c>
      <c r="K37" s="2"/>
      <c r="L37" s="2">
        <f t="shared" si="25"/>
        <v>14040006</v>
      </c>
      <c r="M37" s="102">
        <f>SUM(L34:L37)</f>
        <v>65520006</v>
      </c>
    </row>
  </sheetData>
  <mergeCells count="4">
    <mergeCell ref="A1:R1"/>
    <mergeCell ref="D3:F3"/>
    <mergeCell ref="G3:I3"/>
    <mergeCell ref="J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F1F0-5B30-514B-9020-5739697AB47E}">
  <dimension ref="A3:O20"/>
  <sheetViews>
    <sheetView topLeftCell="A2" workbookViewId="0">
      <selection activeCell="C25" sqref="C25"/>
    </sheetView>
  </sheetViews>
  <sheetFormatPr baseColWidth="10" defaultRowHeight="18" x14ac:dyDescent="0.2"/>
  <cols>
    <col min="1" max="1" width="20.33203125" style="157" customWidth="1"/>
    <col min="2" max="7" width="10.83203125" style="158"/>
    <col min="8" max="8" width="0" style="158" hidden="1" customWidth="1"/>
    <col min="9" max="11" width="10.83203125" style="159"/>
    <col min="12" max="13" width="13.6640625" style="157" bestFit="1" customWidth="1"/>
    <col min="14" max="15" width="13.5" style="157" bestFit="1" customWidth="1"/>
    <col min="16" max="16384" width="10.83203125" style="157"/>
  </cols>
  <sheetData>
    <row r="3" spans="1:15" s="150" customFormat="1" x14ac:dyDescent="0.2">
      <c r="A3" s="141"/>
      <c r="B3" s="142" t="s">
        <v>66</v>
      </c>
      <c r="C3" s="143"/>
      <c r="D3" s="143"/>
      <c r="E3" s="143"/>
      <c r="F3" s="144"/>
      <c r="G3" s="145"/>
      <c r="H3" s="146"/>
      <c r="I3" s="147" t="s">
        <v>70</v>
      </c>
      <c r="J3" s="148"/>
      <c r="K3" s="149"/>
    </row>
    <row r="4" spans="1:15" s="150" customFormat="1" x14ac:dyDescent="0.2">
      <c r="A4" s="141"/>
      <c r="B4" s="146" t="s">
        <v>67</v>
      </c>
      <c r="C4" s="146" t="s">
        <v>76</v>
      </c>
      <c r="D4" s="146" t="s">
        <v>68</v>
      </c>
      <c r="E4" s="146" t="s">
        <v>76</v>
      </c>
      <c r="F4" s="146" t="s">
        <v>69</v>
      </c>
      <c r="G4" s="146" t="s">
        <v>76</v>
      </c>
      <c r="H4" s="146"/>
      <c r="I4" s="151" t="s">
        <v>67</v>
      </c>
      <c r="J4" s="151" t="s">
        <v>68</v>
      </c>
      <c r="K4" s="151" t="s">
        <v>69</v>
      </c>
    </row>
    <row r="5" spans="1:15" s="157" customFormat="1" x14ac:dyDescent="0.2">
      <c r="A5" s="152" t="s">
        <v>7</v>
      </c>
      <c r="B5" s="134"/>
      <c r="C5" s="134"/>
      <c r="D5" s="134">
        <v>1</v>
      </c>
      <c r="E5" s="133">
        <v>6.5</v>
      </c>
      <c r="F5" s="134"/>
      <c r="G5" s="134"/>
      <c r="H5" s="153">
        <f t="shared" ref="H5:H19" si="0">B5+D5+F5</f>
        <v>1</v>
      </c>
      <c r="I5" s="154">
        <f>100</f>
        <v>100</v>
      </c>
      <c r="J5" s="154">
        <v>100</v>
      </c>
      <c r="K5" s="154">
        <v>100</v>
      </c>
      <c r="L5" s="155">
        <f>C5*29250*31</f>
        <v>0</v>
      </c>
      <c r="M5" s="155">
        <f>E5*31*2*29250</f>
        <v>11787750</v>
      </c>
      <c r="N5" s="155">
        <f>G5*31*4*29250</f>
        <v>0</v>
      </c>
      <c r="O5" s="156">
        <f>L5+M5+N5</f>
        <v>11787750</v>
      </c>
    </row>
    <row r="6" spans="1:15" s="157" customFormat="1" x14ac:dyDescent="0.2">
      <c r="A6" s="152" t="s">
        <v>8</v>
      </c>
      <c r="B6" s="134"/>
      <c r="C6" s="134"/>
      <c r="D6" s="134">
        <v>1</v>
      </c>
      <c r="E6" s="134">
        <v>6.5</v>
      </c>
      <c r="F6" s="134"/>
      <c r="G6" s="134"/>
      <c r="H6" s="153">
        <f t="shared" si="0"/>
        <v>1</v>
      </c>
      <c r="I6" s="154">
        <f>100</f>
        <v>100</v>
      </c>
      <c r="J6" s="154">
        <v>100</v>
      </c>
      <c r="K6" s="154">
        <v>100</v>
      </c>
      <c r="L6" s="155">
        <f>C6*29250*31</f>
        <v>0</v>
      </c>
      <c r="M6" s="155">
        <f>E6*31*2*29250</f>
        <v>11787750</v>
      </c>
      <c r="N6" s="155">
        <f>G6*31*4*29250</f>
        <v>0</v>
      </c>
      <c r="O6" s="156">
        <f t="shared" ref="O6:O19" si="1">L6+M6+N6</f>
        <v>11787750</v>
      </c>
    </row>
    <row r="7" spans="1:15" s="157" customFormat="1" x14ac:dyDescent="0.2">
      <c r="A7" s="152" t="s">
        <v>9</v>
      </c>
      <c r="B7" s="134"/>
      <c r="C7" s="134"/>
      <c r="D7" s="134">
        <v>1</v>
      </c>
      <c r="E7" s="134">
        <v>6.5</v>
      </c>
      <c r="F7" s="134"/>
      <c r="G7" s="134"/>
      <c r="H7" s="153">
        <f t="shared" si="0"/>
        <v>1</v>
      </c>
      <c r="I7" s="154">
        <f>100</f>
        <v>100</v>
      </c>
      <c r="J7" s="154">
        <v>100</v>
      </c>
      <c r="K7" s="154">
        <v>100</v>
      </c>
      <c r="L7" s="155">
        <f>C7*29250*31</f>
        <v>0</v>
      </c>
      <c r="M7" s="155">
        <f>E7*31*2*29250</f>
        <v>11787750</v>
      </c>
      <c r="N7" s="155">
        <f>G7*31*4*29250</f>
        <v>0</v>
      </c>
      <c r="O7" s="156">
        <f t="shared" si="1"/>
        <v>11787750</v>
      </c>
    </row>
    <row r="8" spans="1:15" s="157" customFormat="1" x14ac:dyDescent="0.2">
      <c r="A8" s="152" t="s">
        <v>10</v>
      </c>
      <c r="B8" s="134"/>
      <c r="C8" s="134"/>
      <c r="D8" s="134">
        <v>1</v>
      </c>
      <c r="E8" s="134">
        <v>6.5</v>
      </c>
      <c r="F8" s="134"/>
      <c r="G8" s="134"/>
      <c r="H8" s="153">
        <f t="shared" si="0"/>
        <v>1</v>
      </c>
      <c r="I8" s="154">
        <f>100</f>
        <v>100</v>
      </c>
      <c r="J8" s="154">
        <v>100</v>
      </c>
      <c r="K8" s="154">
        <v>100</v>
      </c>
      <c r="L8" s="155">
        <f>C8*29250*31</f>
        <v>0</v>
      </c>
      <c r="M8" s="155">
        <f>E8*31*2*29250</f>
        <v>11787750</v>
      </c>
      <c r="N8" s="155">
        <f>G8*31*4*29250</f>
        <v>0</v>
      </c>
      <c r="O8" s="156">
        <f t="shared" si="1"/>
        <v>11787750</v>
      </c>
    </row>
    <row r="9" spans="1:15" s="157" customFormat="1" x14ac:dyDescent="0.2">
      <c r="A9" s="152" t="s">
        <v>11</v>
      </c>
      <c r="B9" s="134"/>
      <c r="C9" s="134"/>
      <c r="D9" s="134">
        <v>1</v>
      </c>
      <c r="E9" s="134">
        <v>6.5</v>
      </c>
      <c r="F9" s="134"/>
      <c r="G9" s="134"/>
      <c r="H9" s="153">
        <f t="shared" si="0"/>
        <v>1</v>
      </c>
      <c r="I9" s="154">
        <f>100</f>
        <v>100</v>
      </c>
      <c r="J9" s="154">
        <v>100</v>
      </c>
      <c r="K9" s="154">
        <v>100</v>
      </c>
      <c r="L9" s="155">
        <f>C9*29250*31</f>
        <v>0</v>
      </c>
      <c r="M9" s="155">
        <f>E9*31*2*29250</f>
        <v>11787750</v>
      </c>
      <c r="N9" s="155">
        <f>G9*31*4*29250</f>
        <v>0</v>
      </c>
      <c r="O9" s="156">
        <f t="shared" si="1"/>
        <v>11787750</v>
      </c>
    </row>
    <row r="10" spans="1:15" s="157" customFormat="1" x14ac:dyDescent="0.2">
      <c r="A10" s="152" t="s">
        <v>12</v>
      </c>
      <c r="B10" s="133"/>
      <c r="C10" s="133"/>
      <c r="D10" s="133">
        <v>1</v>
      </c>
      <c r="E10" s="133">
        <v>6.5</v>
      </c>
      <c r="F10" s="133"/>
      <c r="G10" s="133"/>
      <c r="H10" s="153">
        <f t="shared" si="0"/>
        <v>1</v>
      </c>
      <c r="I10" s="154">
        <f>100</f>
        <v>100</v>
      </c>
      <c r="J10" s="154">
        <v>100</v>
      </c>
      <c r="K10" s="154">
        <v>100</v>
      </c>
      <c r="L10" s="155">
        <f>C10*29250*31</f>
        <v>0</v>
      </c>
      <c r="M10" s="155">
        <f>E10*31*2*29250</f>
        <v>11787750</v>
      </c>
      <c r="N10" s="155">
        <f>G10*31*4*29250</f>
        <v>0</v>
      </c>
      <c r="O10" s="156">
        <f t="shared" si="1"/>
        <v>11787750</v>
      </c>
    </row>
    <row r="11" spans="1:15" s="157" customFormat="1" x14ac:dyDescent="0.2">
      <c r="A11" s="152" t="s">
        <v>13</v>
      </c>
      <c r="B11" s="134"/>
      <c r="C11" s="134"/>
      <c r="D11" s="134">
        <v>1</v>
      </c>
      <c r="E11" s="134">
        <v>6.5</v>
      </c>
      <c r="F11" s="134"/>
      <c r="G11" s="134"/>
      <c r="H11" s="153">
        <f t="shared" si="0"/>
        <v>1</v>
      </c>
      <c r="I11" s="154">
        <f>100</f>
        <v>100</v>
      </c>
      <c r="J11" s="154">
        <v>100</v>
      </c>
      <c r="K11" s="154">
        <v>100</v>
      </c>
      <c r="L11" s="155">
        <f>C11*29250*31</f>
        <v>0</v>
      </c>
      <c r="M11" s="155">
        <f>E11*31*2*29250</f>
        <v>11787750</v>
      </c>
      <c r="N11" s="155">
        <f>G11*31*4*29250</f>
        <v>0</v>
      </c>
      <c r="O11" s="156">
        <f t="shared" si="1"/>
        <v>11787750</v>
      </c>
    </row>
    <row r="12" spans="1:15" s="157" customFormat="1" x14ac:dyDescent="0.2">
      <c r="A12" s="152" t="s">
        <v>14</v>
      </c>
      <c r="B12" s="134"/>
      <c r="C12" s="134"/>
      <c r="D12" s="134">
        <v>1</v>
      </c>
      <c r="E12" s="134">
        <v>6.5</v>
      </c>
      <c r="F12" s="134"/>
      <c r="G12" s="134"/>
      <c r="H12" s="153">
        <f t="shared" si="0"/>
        <v>1</v>
      </c>
      <c r="I12" s="154">
        <f>100</f>
        <v>100</v>
      </c>
      <c r="J12" s="154">
        <v>100</v>
      </c>
      <c r="K12" s="154">
        <v>100</v>
      </c>
      <c r="L12" s="155">
        <f>C12*29250*31</f>
        <v>0</v>
      </c>
      <c r="M12" s="155">
        <f>E12*31*2*29250</f>
        <v>11787750</v>
      </c>
      <c r="N12" s="155">
        <f>G12*31*4*29250</f>
        <v>0</v>
      </c>
      <c r="O12" s="156">
        <f t="shared" si="1"/>
        <v>11787750</v>
      </c>
    </row>
    <row r="13" spans="1:15" s="157" customFormat="1" ht="19" customHeight="1" x14ac:dyDescent="0.2">
      <c r="A13" s="152" t="s">
        <v>15</v>
      </c>
      <c r="B13" s="134">
        <v>1</v>
      </c>
      <c r="C13" s="134">
        <v>2</v>
      </c>
      <c r="D13" s="134">
        <v>2</v>
      </c>
      <c r="E13" s="134">
        <v>4.5</v>
      </c>
      <c r="F13" s="134"/>
      <c r="G13" s="134"/>
      <c r="H13" s="153">
        <f t="shared" si="0"/>
        <v>3</v>
      </c>
      <c r="I13" s="154">
        <f>100</f>
        <v>100</v>
      </c>
      <c r="J13" s="154">
        <v>100</v>
      </c>
      <c r="K13" s="154">
        <v>100</v>
      </c>
      <c r="L13" s="155">
        <f>C13*29250*31</f>
        <v>1813500</v>
      </c>
      <c r="M13" s="155">
        <f>E13*31*2*29250</f>
        <v>8160750</v>
      </c>
      <c r="N13" s="155">
        <f>G13*31*4*29250</f>
        <v>0</v>
      </c>
      <c r="O13" s="156">
        <f t="shared" si="1"/>
        <v>9974250</v>
      </c>
    </row>
    <row r="14" spans="1:15" s="157" customFormat="1" x14ac:dyDescent="0.2">
      <c r="A14" s="152" t="s">
        <v>16</v>
      </c>
      <c r="B14" s="134">
        <v>1</v>
      </c>
      <c r="C14" s="134">
        <v>2</v>
      </c>
      <c r="D14" s="134">
        <v>1</v>
      </c>
      <c r="E14" s="134">
        <v>2</v>
      </c>
      <c r="F14" s="134">
        <v>1</v>
      </c>
      <c r="G14" s="134">
        <v>2.5</v>
      </c>
      <c r="H14" s="153">
        <f t="shared" si="0"/>
        <v>3</v>
      </c>
      <c r="I14" s="154">
        <f>100</f>
        <v>100</v>
      </c>
      <c r="J14" s="154">
        <v>100</v>
      </c>
      <c r="K14" s="154">
        <v>100</v>
      </c>
      <c r="L14" s="155">
        <f>C14*29250*31</f>
        <v>1813500</v>
      </c>
      <c r="M14" s="155">
        <f>E14*31*2*29250</f>
        <v>3627000</v>
      </c>
      <c r="N14" s="155">
        <f>G14*31*4*29250</f>
        <v>9067500</v>
      </c>
      <c r="O14" s="156">
        <f t="shared" si="1"/>
        <v>14508000</v>
      </c>
    </row>
    <row r="15" spans="1:15" s="157" customFormat="1" x14ac:dyDescent="0.2">
      <c r="A15" s="152" t="s">
        <v>17</v>
      </c>
      <c r="B15" s="134">
        <v>1</v>
      </c>
      <c r="C15" s="134">
        <v>2</v>
      </c>
      <c r="D15" s="134">
        <v>1</v>
      </c>
      <c r="E15" s="134">
        <v>2</v>
      </c>
      <c r="F15" s="134">
        <v>1</v>
      </c>
      <c r="G15" s="134">
        <v>2.5</v>
      </c>
      <c r="H15" s="153">
        <f t="shared" si="0"/>
        <v>3</v>
      </c>
      <c r="I15" s="154">
        <f>100</f>
        <v>100</v>
      </c>
      <c r="J15" s="154">
        <v>100</v>
      </c>
      <c r="K15" s="154">
        <v>100</v>
      </c>
      <c r="L15" s="155">
        <f>C15*29250*31</f>
        <v>1813500</v>
      </c>
      <c r="M15" s="155">
        <f>E15*31*2*29250</f>
        <v>3627000</v>
      </c>
      <c r="N15" s="155">
        <f>G15*31*4*29250</f>
        <v>9067500</v>
      </c>
      <c r="O15" s="156">
        <f t="shared" si="1"/>
        <v>14508000</v>
      </c>
    </row>
    <row r="16" spans="1:15" s="157" customFormat="1" x14ac:dyDescent="0.2">
      <c r="A16" s="152" t="s">
        <v>18</v>
      </c>
      <c r="B16" s="134">
        <v>1</v>
      </c>
      <c r="C16" s="134">
        <v>2</v>
      </c>
      <c r="D16" s="134">
        <v>2</v>
      </c>
      <c r="E16" s="134">
        <v>4.5</v>
      </c>
      <c r="F16" s="134"/>
      <c r="G16" s="134"/>
      <c r="H16" s="153">
        <f t="shared" si="0"/>
        <v>3</v>
      </c>
      <c r="I16" s="154">
        <f>100</f>
        <v>100</v>
      </c>
      <c r="J16" s="154">
        <v>100</v>
      </c>
      <c r="K16" s="154">
        <v>100</v>
      </c>
      <c r="L16" s="155">
        <f>C16*29250*31</f>
        <v>1813500</v>
      </c>
      <c r="M16" s="155">
        <f>E16*31*2*29250</f>
        <v>8160750</v>
      </c>
      <c r="N16" s="155">
        <f>G16*31*4*29250</f>
        <v>0</v>
      </c>
      <c r="O16" s="156">
        <f t="shared" si="1"/>
        <v>9974250</v>
      </c>
    </row>
    <row r="17" spans="1:15" s="157" customFormat="1" x14ac:dyDescent="0.2">
      <c r="A17" s="152" t="s">
        <v>19</v>
      </c>
      <c r="B17" s="134">
        <v>1</v>
      </c>
      <c r="C17" s="134">
        <v>2</v>
      </c>
      <c r="D17" s="134">
        <v>2</v>
      </c>
      <c r="E17" s="134">
        <v>4.5</v>
      </c>
      <c r="F17" s="134"/>
      <c r="G17" s="134"/>
      <c r="H17" s="153">
        <f t="shared" si="0"/>
        <v>3</v>
      </c>
      <c r="I17" s="154">
        <f>100</f>
        <v>100</v>
      </c>
      <c r="J17" s="154">
        <v>100</v>
      </c>
      <c r="K17" s="154">
        <v>100</v>
      </c>
      <c r="L17" s="155">
        <f>C17*29250*31</f>
        <v>1813500</v>
      </c>
      <c r="M17" s="155">
        <f>E17*31*2*29250</f>
        <v>8160750</v>
      </c>
      <c r="N17" s="155">
        <f>G17*31*4*29250</f>
        <v>0</v>
      </c>
      <c r="O17" s="156">
        <f t="shared" si="1"/>
        <v>9974250</v>
      </c>
    </row>
    <row r="18" spans="1:15" s="157" customFormat="1" x14ac:dyDescent="0.2">
      <c r="A18" s="152" t="s">
        <v>20</v>
      </c>
      <c r="B18" s="134">
        <v>1</v>
      </c>
      <c r="C18" s="134">
        <v>2</v>
      </c>
      <c r="D18" s="134">
        <v>2</v>
      </c>
      <c r="E18" s="134">
        <v>4.5</v>
      </c>
      <c r="F18" s="134"/>
      <c r="G18" s="134"/>
      <c r="H18" s="153">
        <f t="shared" si="0"/>
        <v>3</v>
      </c>
      <c r="I18" s="154">
        <f>100</f>
        <v>100</v>
      </c>
      <c r="J18" s="154">
        <v>100</v>
      </c>
      <c r="K18" s="154">
        <v>100</v>
      </c>
      <c r="L18" s="155">
        <f>C18*29250*31</f>
        <v>1813500</v>
      </c>
      <c r="M18" s="155">
        <f>E18*31*2*29250</f>
        <v>8160750</v>
      </c>
      <c r="N18" s="155">
        <f>G18*31*4*29250</f>
        <v>0</v>
      </c>
      <c r="O18" s="156">
        <f t="shared" si="1"/>
        <v>9974250</v>
      </c>
    </row>
    <row r="19" spans="1:15" s="157" customFormat="1" x14ac:dyDescent="0.2">
      <c r="A19" s="152" t="s">
        <v>21</v>
      </c>
      <c r="B19" s="134"/>
      <c r="C19" s="134"/>
      <c r="D19" s="134">
        <v>2</v>
      </c>
      <c r="E19" s="134">
        <v>2</v>
      </c>
      <c r="F19" s="134">
        <v>1</v>
      </c>
      <c r="G19" s="134">
        <v>5</v>
      </c>
      <c r="H19" s="153">
        <f t="shared" si="0"/>
        <v>3</v>
      </c>
      <c r="I19" s="154">
        <f>100</f>
        <v>100</v>
      </c>
      <c r="J19" s="154">
        <v>100</v>
      </c>
      <c r="K19" s="154">
        <v>100</v>
      </c>
      <c r="L19" s="155">
        <f>C19*29250*31</f>
        <v>0</v>
      </c>
      <c r="M19" s="155">
        <f>E19*27*2*29250</f>
        <v>3159000</v>
      </c>
      <c r="N19" s="155">
        <f>G19*27*4*29250</f>
        <v>15795000</v>
      </c>
      <c r="O19" s="156">
        <f t="shared" si="1"/>
        <v>18954000</v>
      </c>
    </row>
    <row r="20" spans="1:15" s="157" customFormat="1" x14ac:dyDescent="0.2">
      <c r="A20" s="157" t="s">
        <v>72</v>
      </c>
      <c r="B20" s="158">
        <v>1</v>
      </c>
      <c r="C20" s="158"/>
      <c r="D20" s="158">
        <v>2</v>
      </c>
      <c r="E20" s="158"/>
      <c r="F20" s="158">
        <v>3</v>
      </c>
      <c r="G20" s="158"/>
      <c r="H20" s="158"/>
      <c r="I20" s="159" t="s">
        <v>73</v>
      </c>
      <c r="J20" s="159" t="s">
        <v>74</v>
      </c>
      <c r="K20" s="159" t="s">
        <v>75</v>
      </c>
    </row>
  </sheetData>
  <mergeCells count="2">
    <mergeCell ref="B3:F3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6813-2B00-524F-B6F2-1B80CC21B407}">
  <dimension ref="A1:T36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6.5" style="19" customWidth="1"/>
    <col min="2" max="2" width="24.6640625" customWidth="1"/>
    <col min="3" max="5" width="11.1640625" style="3" customWidth="1"/>
    <col min="6" max="6" width="12.33203125" style="3" bestFit="1" customWidth="1"/>
    <col min="7" max="7" width="16" style="79" customWidth="1"/>
    <col min="8" max="8" width="11.1640625" style="79" customWidth="1"/>
    <col min="9" max="11" width="11.1640625" style="3" customWidth="1"/>
    <col min="12" max="12" width="13.33203125" style="3" customWidth="1"/>
    <col min="13" max="13" width="14.5" style="3" customWidth="1"/>
    <col min="14" max="14" width="9" bestFit="1" customWidth="1"/>
    <col min="15" max="15" width="11.1640625" customWidth="1"/>
    <col min="16" max="16" width="12.6640625" bestFit="1" customWidth="1"/>
    <col min="17" max="17" width="12.5" customWidth="1"/>
    <col min="18" max="18" width="14.5" customWidth="1"/>
    <col min="20" max="20" width="15.83203125" bestFit="1" customWidth="1"/>
  </cols>
  <sheetData>
    <row r="1" spans="1:18" s="5" customFormat="1" ht="18" x14ac:dyDescent="0.2">
      <c r="A1" s="82" t="s">
        <v>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3" spans="1:18" s="4" customFormat="1" ht="25" customHeight="1" x14ac:dyDescent="0.2">
      <c r="A3" s="106" t="s">
        <v>0</v>
      </c>
      <c r="B3" s="106" t="s">
        <v>1</v>
      </c>
      <c r="C3" s="104" t="s">
        <v>63</v>
      </c>
      <c r="D3" s="89" t="s">
        <v>78</v>
      </c>
      <c r="E3" s="90"/>
      <c r="F3" s="91"/>
      <c r="G3" s="89" t="s">
        <v>79</v>
      </c>
      <c r="H3" s="90"/>
      <c r="I3" s="91"/>
      <c r="J3" s="89" t="s">
        <v>80</v>
      </c>
      <c r="K3" s="90"/>
      <c r="L3" s="91"/>
      <c r="M3" s="104" t="s">
        <v>27</v>
      </c>
      <c r="N3" s="106" t="s">
        <v>22</v>
      </c>
      <c r="O3" s="106" t="s">
        <v>23</v>
      </c>
      <c r="P3" s="106" t="s">
        <v>24</v>
      </c>
      <c r="Q3" s="104" t="s">
        <v>25</v>
      </c>
      <c r="R3" s="106" t="s">
        <v>26</v>
      </c>
    </row>
    <row r="4" spans="1:18" s="4" customFormat="1" ht="52" customHeight="1" x14ac:dyDescent="0.2">
      <c r="A4" s="107"/>
      <c r="B4" s="107"/>
      <c r="C4" s="105"/>
      <c r="D4" s="6" t="s">
        <v>76</v>
      </c>
      <c r="E4" s="6" t="s">
        <v>70</v>
      </c>
      <c r="F4" s="6" t="s">
        <v>77</v>
      </c>
      <c r="G4" s="55" t="s">
        <v>76</v>
      </c>
      <c r="H4" s="55" t="s">
        <v>70</v>
      </c>
      <c r="I4" s="6" t="s">
        <v>77</v>
      </c>
      <c r="J4" s="6" t="s">
        <v>76</v>
      </c>
      <c r="K4" s="6" t="s">
        <v>70</v>
      </c>
      <c r="L4" s="6" t="s">
        <v>77</v>
      </c>
      <c r="M4" s="105"/>
      <c r="N4" s="107"/>
      <c r="O4" s="107"/>
      <c r="P4" s="107"/>
      <c r="Q4" s="105"/>
      <c r="R4" s="107"/>
    </row>
    <row r="5" spans="1:18" ht="18" x14ac:dyDescent="0.2">
      <c r="A5" s="35">
        <v>1</v>
      </c>
      <c r="B5" s="7" t="s">
        <v>7</v>
      </c>
      <c r="C5" s="8">
        <f t="shared" ref="C5:C6" si="0">234000/8</f>
        <v>29250</v>
      </c>
      <c r="D5" s="8"/>
      <c r="E5" s="8">
        <v>100</v>
      </c>
      <c r="F5" s="81">
        <f t="shared" ref="F5:F19" si="1">D5*E5/100*C5*22</f>
        <v>0</v>
      </c>
      <c r="G5" s="77">
        <v>6.5</v>
      </c>
      <c r="H5" s="77">
        <v>100</v>
      </c>
      <c r="I5" s="8">
        <f>G5*C5*31*1.6*H5/100</f>
        <v>9430200</v>
      </c>
      <c r="J5" s="8"/>
      <c r="K5" s="8">
        <v>100</v>
      </c>
      <c r="L5" s="8">
        <f>K5/100*J5*C5*3*31</f>
        <v>0</v>
      </c>
      <c r="M5" s="8">
        <f>I5+L5+F5</f>
        <v>9430200</v>
      </c>
      <c r="N5" s="10">
        <v>3.66</v>
      </c>
      <c r="O5" s="8">
        <f>N5*2340000*10.5%</f>
        <v>899262</v>
      </c>
      <c r="P5" s="8">
        <f t="shared" ref="P5:P19" si="2">N5*2340000-O5</f>
        <v>7665138</v>
      </c>
      <c r="Q5" s="8">
        <f>P5*40%</f>
        <v>3066055.2</v>
      </c>
      <c r="R5" s="8">
        <f>M5-Q5</f>
        <v>6364144.7999999998</v>
      </c>
    </row>
    <row r="6" spans="1:18" ht="18" x14ac:dyDescent="0.2">
      <c r="A6" s="35">
        <v>2</v>
      </c>
      <c r="B6" s="7" t="s">
        <v>8</v>
      </c>
      <c r="C6" s="8">
        <f t="shared" si="0"/>
        <v>29250</v>
      </c>
      <c r="D6" s="8"/>
      <c r="E6" s="8">
        <v>100</v>
      </c>
      <c r="F6" s="81">
        <f t="shared" si="1"/>
        <v>0</v>
      </c>
      <c r="G6" s="77">
        <v>6.5</v>
      </c>
      <c r="H6" s="77">
        <v>100</v>
      </c>
      <c r="I6" s="8">
        <f t="shared" ref="I6:I18" si="3">G6*C6*31*1.6*H6/100</f>
        <v>9430200</v>
      </c>
      <c r="J6" s="8"/>
      <c r="K6" s="8">
        <v>100</v>
      </c>
      <c r="L6" s="8">
        <f t="shared" ref="L6:L19" si="4">K6/100*J6*C6*3*31</f>
        <v>0</v>
      </c>
      <c r="M6" s="8">
        <f t="shared" ref="M6:M19" si="5">I6+L6+F6</f>
        <v>9430200</v>
      </c>
      <c r="N6" s="10">
        <v>4.32</v>
      </c>
      <c r="O6" s="8">
        <f t="shared" ref="O6:O19" si="6">N6*2340000*10.5%</f>
        <v>1061424</v>
      </c>
      <c r="P6" s="8">
        <f t="shared" si="2"/>
        <v>9047376</v>
      </c>
      <c r="Q6" s="8">
        <f t="shared" ref="Q6:Q19" si="7">P6*40%</f>
        <v>3618950.4000000004</v>
      </c>
      <c r="R6" s="8">
        <f>M6-Q6</f>
        <v>5811249.5999999996</v>
      </c>
    </row>
    <row r="7" spans="1:18" ht="18" x14ac:dyDescent="0.2">
      <c r="A7" s="35">
        <v>3</v>
      </c>
      <c r="B7" s="7" t="s">
        <v>9</v>
      </c>
      <c r="C7" s="8">
        <f>234000/8</f>
        <v>29250</v>
      </c>
      <c r="D7" s="8"/>
      <c r="E7" s="8">
        <v>100</v>
      </c>
      <c r="F7" s="81">
        <f t="shared" si="1"/>
        <v>0</v>
      </c>
      <c r="G7" s="77">
        <v>6.5</v>
      </c>
      <c r="H7" s="77">
        <v>100</v>
      </c>
      <c r="I7" s="8">
        <f t="shared" si="3"/>
        <v>9430200</v>
      </c>
      <c r="J7" s="8"/>
      <c r="K7" s="8">
        <v>100</v>
      </c>
      <c r="L7" s="8">
        <f t="shared" si="4"/>
        <v>0</v>
      </c>
      <c r="M7" s="8">
        <f t="shared" si="5"/>
        <v>9430200</v>
      </c>
      <c r="N7" s="11">
        <v>3.99</v>
      </c>
      <c r="O7" s="8">
        <f t="shared" si="6"/>
        <v>980343</v>
      </c>
      <c r="P7" s="8">
        <f t="shared" si="2"/>
        <v>8356257</v>
      </c>
      <c r="Q7" s="8">
        <f t="shared" si="7"/>
        <v>3342502.8000000003</v>
      </c>
      <c r="R7" s="8">
        <f t="shared" ref="R7:R19" si="8">M7-Q7</f>
        <v>6087697.1999999993</v>
      </c>
    </row>
    <row r="8" spans="1:18" ht="18" x14ac:dyDescent="0.2">
      <c r="A8" s="35">
        <v>4</v>
      </c>
      <c r="B8" s="7" t="s">
        <v>10</v>
      </c>
      <c r="C8" s="8">
        <f t="shared" ref="C8:C19" si="9">234000/8</f>
        <v>29250</v>
      </c>
      <c r="D8" s="8"/>
      <c r="E8" s="8">
        <v>100</v>
      </c>
      <c r="F8" s="81">
        <f t="shared" si="1"/>
        <v>0</v>
      </c>
      <c r="G8" s="77">
        <v>6.5</v>
      </c>
      <c r="H8" s="77">
        <v>100</v>
      </c>
      <c r="I8" s="8">
        <f t="shared" si="3"/>
        <v>9430200</v>
      </c>
      <c r="J8" s="8"/>
      <c r="K8" s="8">
        <v>100</v>
      </c>
      <c r="L8" s="8">
        <f t="shared" si="4"/>
        <v>0</v>
      </c>
      <c r="M8" s="8">
        <f t="shared" si="5"/>
        <v>9430200</v>
      </c>
      <c r="N8" s="11">
        <v>3.99</v>
      </c>
      <c r="O8" s="8">
        <f t="shared" si="6"/>
        <v>980343</v>
      </c>
      <c r="P8" s="8">
        <f t="shared" si="2"/>
        <v>8356257</v>
      </c>
      <c r="Q8" s="8">
        <f t="shared" si="7"/>
        <v>3342502.8000000003</v>
      </c>
      <c r="R8" s="8">
        <f t="shared" si="8"/>
        <v>6087697.1999999993</v>
      </c>
    </row>
    <row r="9" spans="1:18" ht="18" x14ac:dyDescent="0.2">
      <c r="A9" s="35">
        <v>5</v>
      </c>
      <c r="B9" s="7" t="s">
        <v>11</v>
      </c>
      <c r="C9" s="8">
        <f t="shared" si="9"/>
        <v>29250</v>
      </c>
      <c r="D9" s="8"/>
      <c r="E9" s="8">
        <v>100</v>
      </c>
      <c r="F9" s="81">
        <f t="shared" si="1"/>
        <v>0</v>
      </c>
      <c r="G9" s="77">
        <v>6.5</v>
      </c>
      <c r="H9" s="77">
        <v>90</v>
      </c>
      <c r="I9" s="8">
        <f t="shared" si="3"/>
        <v>8487180</v>
      </c>
      <c r="J9" s="8"/>
      <c r="K9" s="8">
        <v>100</v>
      </c>
      <c r="L9" s="8">
        <f t="shared" si="4"/>
        <v>0</v>
      </c>
      <c r="M9" s="8">
        <f t="shared" si="5"/>
        <v>8487180</v>
      </c>
      <c r="N9" s="12">
        <v>3.33</v>
      </c>
      <c r="O9" s="8">
        <f t="shared" si="6"/>
        <v>818181</v>
      </c>
      <c r="P9" s="8">
        <f t="shared" si="2"/>
        <v>6974019</v>
      </c>
      <c r="Q9" s="8">
        <f t="shared" si="7"/>
        <v>2789607.6</v>
      </c>
      <c r="R9" s="8">
        <f t="shared" si="8"/>
        <v>5697572.4000000004</v>
      </c>
    </row>
    <row r="10" spans="1:18" ht="18" x14ac:dyDescent="0.2">
      <c r="A10" s="35">
        <v>6</v>
      </c>
      <c r="B10" s="7" t="s">
        <v>12</v>
      </c>
      <c r="C10" s="8">
        <f t="shared" si="9"/>
        <v>29250</v>
      </c>
      <c r="D10" s="8"/>
      <c r="E10" s="8">
        <v>100</v>
      </c>
      <c r="F10" s="81">
        <f t="shared" si="1"/>
        <v>0</v>
      </c>
      <c r="G10" s="77">
        <v>6.5</v>
      </c>
      <c r="H10" s="77">
        <v>90</v>
      </c>
      <c r="I10" s="8">
        <f t="shared" si="3"/>
        <v>8487180</v>
      </c>
      <c r="J10" s="8"/>
      <c r="K10" s="8">
        <v>100</v>
      </c>
      <c r="L10" s="8">
        <f t="shared" si="4"/>
        <v>0</v>
      </c>
      <c r="M10" s="8">
        <f t="shared" si="5"/>
        <v>8487180</v>
      </c>
      <c r="N10" s="7">
        <v>4.32</v>
      </c>
      <c r="O10" s="8">
        <f t="shared" si="6"/>
        <v>1061424</v>
      </c>
      <c r="P10" s="8">
        <f t="shared" si="2"/>
        <v>9047376</v>
      </c>
      <c r="Q10" s="8">
        <f t="shared" si="7"/>
        <v>3618950.4000000004</v>
      </c>
      <c r="R10" s="8">
        <f t="shared" si="8"/>
        <v>4868229.5999999996</v>
      </c>
    </row>
    <row r="11" spans="1:18" ht="18" x14ac:dyDescent="0.2">
      <c r="A11" s="35">
        <v>7</v>
      </c>
      <c r="B11" s="7" t="s">
        <v>13</v>
      </c>
      <c r="C11" s="8">
        <f t="shared" si="9"/>
        <v>29250</v>
      </c>
      <c r="D11" s="8"/>
      <c r="E11" s="8">
        <v>100</v>
      </c>
      <c r="F11" s="81">
        <f t="shared" si="1"/>
        <v>0</v>
      </c>
      <c r="G11" s="77">
        <v>6.5</v>
      </c>
      <c r="H11" s="77">
        <v>90</v>
      </c>
      <c r="I11" s="8">
        <f t="shared" si="3"/>
        <v>8487180</v>
      </c>
      <c r="J11" s="8"/>
      <c r="K11" s="8">
        <v>100</v>
      </c>
      <c r="L11" s="8">
        <f t="shared" si="4"/>
        <v>0</v>
      </c>
      <c r="M11" s="8">
        <f t="shared" si="5"/>
        <v>8487180</v>
      </c>
      <c r="N11" s="7">
        <v>3.66</v>
      </c>
      <c r="O11" s="8">
        <f t="shared" si="6"/>
        <v>899262</v>
      </c>
      <c r="P11" s="8">
        <f t="shared" si="2"/>
        <v>7665138</v>
      </c>
      <c r="Q11" s="8">
        <f t="shared" si="7"/>
        <v>3066055.2</v>
      </c>
      <c r="R11" s="8">
        <f t="shared" si="8"/>
        <v>5421124.7999999998</v>
      </c>
    </row>
    <row r="12" spans="1:18" ht="18" x14ac:dyDescent="0.2">
      <c r="A12" s="35">
        <v>8</v>
      </c>
      <c r="B12" s="7" t="s">
        <v>14</v>
      </c>
      <c r="C12" s="8">
        <f t="shared" si="9"/>
        <v>29250</v>
      </c>
      <c r="D12" s="8"/>
      <c r="E12" s="8">
        <v>100</v>
      </c>
      <c r="F12" s="81">
        <f t="shared" si="1"/>
        <v>0</v>
      </c>
      <c r="G12" s="77">
        <v>6.5</v>
      </c>
      <c r="H12" s="77">
        <v>90</v>
      </c>
      <c r="I12" s="8">
        <f t="shared" si="3"/>
        <v>8487180</v>
      </c>
      <c r="J12" s="8"/>
      <c r="K12" s="8">
        <v>100</v>
      </c>
      <c r="L12" s="8">
        <f t="shared" si="4"/>
        <v>0</v>
      </c>
      <c r="M12" s="8">
        <f t="shared" si="5"/>
        <v>8487180</v>
      </c>
      <c r="N12" s="7">
        <v>3.66</v>
      </c>
      <c r="O12" s="8">
        <f t="shared" si="6"/>
        <v>899262</v>
      </c>
      <c r="P12" s="8">
        <f>N12*2340000-O12</f>
        <v>7665138</v>
      </c>
      <c r="Q12" s="8">
        <f t="shared" si="7"/>
        <v>3066055.2</v>
      </c>
      <c r="R12" s="8">
        <f t="shared" si="8"/>
        <v>5421124.7999999998</v>
      </c>
    </row>
    <row r="13" spans="1:18" ht="18" x14ac:dyDescent="0.2">
      <c r="A13" s="35">
        <v>9</v>
      </c>
      <c r="B13" s="7" t="s">
        <v>15</v>
      </c>
      <c r="C13" s="8">
        <f t="shared" si="9"/>
        <v>29250</v>
      </c>
      <c r="D13" s="8">
        <v>2</v>
      </c>
      <c r="E13" s="8">
        <v>100</v>
      </c>
      <c r="F13" s="81">
        <f>D13*E13/100*C13*31</f>
        <v>1813500</v>
      </c>
      <c r="G13" s="77">
        <v>4.5</v>
      </c>
      <c r="H13" s="77">
        <v>100</v>
      </c>
      <c r="I13" s="8">
        <f t="shared" si="3"/>
        <v>6528600</v>
      </c>
      <c r="J13" s="8"/>
      <c r="K13" s="8">
        <v>100</v>
      </c>
      <c r="L13" s="8">
        <f t="shared" si="4"/>
        <v>0</v>
      </c>
      <c r="M13" s="8">
        <f t="shared" si="5"/>
        <v>8342100</v>
      </c>
      <c r="N13" s="7">
        <v>3.66</v>
      </c>
      <c r="O13" s="8">
        <f t="shared" si="6"/>
        <v>899262</v>
      </c>
      <c r="P13" s="8">
        <f>N13*2340000-O13</f>
        <v>7665138</v>
      </c>
      <c r="Q13" s="8">
        <f t="shared" si="7"/>
        <v>3066055.2</v>
      </c>
      <c r="R13" s="8">
        <f t="shared" si="8"/>
        <v>5276044.8</v>
      </c>
    </row>
    <row r="14" spans="1:18" ht="18" x14ac:dyDescent="0.2">
      <c r="A14" s="35">
        <v>10</v>
      </c>
      <c r="B14" s="7" t="s">
        <v>16</v>
      </c>
      <c r="C14" s="8">
        <f t="shared" si="9"/>
        <v>29250</v>
      </c>
      <c r="D14" s="8">
        <v>2</v>
      </c>
      <c r="E14" s="8">
        <v>100</v>
      </c>
      <c r="F14" s="81">
        <f t="shared" ref="F14:F19" si="10">D14*E14/100*C14*31</f>
        <v>1813500</v>
      </c>
      <c r="G14" s="77">
        <v>2</v>
      </c>
      <c r="H14" s="77">
        <v>100</v>
      </c>
      <c r="I14" s="8">
        <f t="shared" si="3"/>
        <v>2901600</v>
      </c>
      <c r="J14" s="8">
        <v>2.5</v>
      </c>
      <c r="K14" s="8">
        <v>100</v>
      </c>
      <c r="L14" s="8">
        <f t="shared" si="4"/>
        <v>6800625</v>
      </c>
      <c r="M14" s="8">
        <f t="shared" si="5"/>
        <v>11515725</v>
      </c>
      <c r="N14" s="7">
        <v>3.66</v>
      </c>
      <c r="O14" s="8">
        <f t="shared" si="6"/>
        <v>899262</v>
      </c>
      <c r="P14" s="8">
        <f t="shared" si="2"/>
        <v>7665138</v>
      </c>
      <c r="Q14" s="8">
        <f t="shared" si="7"/>
        <v>3066055.2</v>
      </c>
      <c r="R14" s="8">
        <f t="shared" si="8"/>
        <v>8449669.8000000007</v>
      </c>
    </row>
    <row r="15" spans="1:18" ht="18" x14ac:dyDescent="0.2">
      <c r="A15" s="35">
        <v>11</v>
      </c>
      <c r="B15" s="7" t="s">
        <v>17</v>
      </c>
      <c r="C15" s="8">
        <f t="shared" si="9"/>
        <v>29250</v>
      </c>
      <c r="D15" s="8">
        <v>2</v>
      </c>
      <c r="E15" s="8">
        <v>100</v>
      </c>
      <c r="F15" s="81">
        <f t="shared" si="10"/>
        <v>1813500</v>
      </c>
      <c r="G15" s="77">
        <v>2</v>
      </c>
      <c r="H15" s="77">
        <v>100</v>
      </c>
      <c r="I15" s="8">
        <f t="shared" si="3"/>
        <v>2901600</v>
      </c>
      <c r="J15" s="8">
        <v>2.5</v>
      </c>
      <c r="K15" s="8">
        <v>100</v>
      </c>
      <c r="L15" s="8">
        <f t="shared" si="4"/>
        <v>6800625</v>
      </c>
      <c r="M15" s="8">
        <f t="shared" si="5"/>
        <v>11515725</v>
      </c>
      <c r="N15" s="7">
        <v>3</v>
      </c>
      <c r="O15" s="8">
        <f t="shared" si="6"/>
        <v>737100</v>
      </c>
      <c r="P15" s="8">
        <f t="shared" si="2"/>
        <v>6282900</v>
      </c>
      <c r="Q15" s="8">
        <f t="shared" si="7"/>
        <v>2513160</v>
      </c>
      <c r="R15" s="8">
        <f t="shared" si="8"/>
        <v>9002565</v>
      </c>
    </row>
    <row r="16" spans="1:18" ht="18" x14ac:dyDescent="0.2">
      <c r="A16" s="35">
        <v>12</v>
      </c>
      <c r="B16" s="7" t="s">
        <v>18</v>
      </c>
      <c r="C16" s="8">
        <f t="shared" si="9"/>
        <v>29250</v>
      </c>
      <c r="D16" s="8">
        <v>2</v>
      </c>
      <c r="E16" s="8">
        <v>100</v>
      </c>
      <c r="F16" s="81">
        <f t="shared" si="10"/>
        <v>1813500</v>
      </c>
      <c r="G16" s="77">
        <v>4.5</v>
      </c>
      <c r="H16" s="77">
        <v>100</v>
      </c>
      <c r="I16" s="8">
        <f t="shared" si="3"/>
        <v>6528600</v>
      </c>
      <c r="J16" s="8"/>
      <c r="K16" s="8">
        <v>100</v>
      </c>
      <c r="L16" s="8">
        <f t="shared" si="4"/>
        <v>0</v>
      </c>
      <c r="M16" s="8">
        <f t="shared" si="5"/>
        <v>8342100</v>
      </c>
      <c r="N16" s="7">
        <v>3</v>
      </c>
      <c r="O16" s="8">
        <f t="shared" si="6"/>
        <v>737100</v>
      </c>
      <c r="P16" s="8">
        <f t="shared" si="2"/>
        <v>6282900</v>
      </c>
      <c r="Q16" s="8">
        <f t="shared" si="7"/>
        <v>2513160</v>
      </c>
      <c r="R16" s="8">
        <f t="shared" si="8"/>
        <v>5828940</v>
      </c>
    </row>
    <row r="17" spans="1:20" ht="18" x14ac:dyDescent="0.2">
      <c r="A17" s="35">
        <v>13</v>
      </c>
      <c r="B17" s="7" t="s">
        <v>19</v>
      </c>
      <c r="C17" s="8">
        <f t="shared" si="9"/>
        <v>29250</v>
      </c>
      <c r="D17" s="8">
        <v>2</v>
      </c>
      <c r="E17" s="8">
        <v>100</v>
      </c>
      <c r="F17" s="81">
        <f t="shared" si="10"/>
        <v>1813500</v>
      </c>
      <c r="G17" s="77">
        <v>4.5</v>
      </c>
      <c r="H17" s="77">
        <v>100</v>
      </c>
      <c r="I17" s="8">
        <f t="shared" si="3"/>
        <v>6528600</v>
      </c>
      <c r="J17" s="8"/>
      <c r="K17" s="8">
        <v>100</v>
      </c>
      <c r="L17" s="8">
        <f t="shared" si="4"/>
        <v>0</v>
      </c>
      <c r="M17" s="8">
        <f t="shared" si="5"/>
        <v>8342100</v>
      </c>
      <c r="N17" s="7">
        <v>2.72</v>
      </c>
      <c r="O17" s="8">
        <f t="shared" si="6"/>
        <v>668304</v>
      </c>
      <c r="P17" s="8">
        <f t="shared" si="2"/>
        <v>5696496</v>
      </c>
      <c r="Q17" s="8">
        <f t="shared" si="7"/>
        <v>2278598.4</v>
      </c>
      <c r="R17" s="8">
        <f t="shared" si="8"/>
        <v>6063501.5999999996</v>
      </c>
    </row>
    <row r="18" spans="1:20" ht="18" x14ac:dyDescent="0.2">
      <c r="A18" s="35">
        <v>14</v>
      </c>
      <c r="B18" s="7" t="s">
        <v>20</v>
      </c>
      <c r="C18" s="8">
        <f t="shared" si="9"/>
        <v>29250</v>
      </c>
      <c r="D18" s="8">
        <v>2</v>
      </c>
      <c r="E18" s="8">
        <v>100</v>
      </c>
      <c r="F18" s="81">
        <f t="shared" si="10"/>
        <v>1813500</v>
      </c>
      <c r="G18" s="77">
        <v>4.5</v>
      </c>
      <c r="H18" s="77">
        <v>100</v>
      </c>
      <c r="I18" s="8">
        <f t="shared" si="3"/>
        <v>6528600</v>
      </c>
      <c r="J18" s="8"/>
      <c r="K18" s="8">
        <v>100</v>
      </c>
      <c r="L18" s="8">
        <f t="shared" si="4"/>
        <v>0</v>
      </c>
      <c r="M18" s="8">
        <f t="shared" si="5"/>
        <v>8342100</v>
      </c>
      <c r="N18" s="7">
        <v>2.34</v>
      </c>
      <c r="O18" s="8">
        <f t="shared" si="6"/>
        <v>574938</v>
      </c>
      <c r="P18" s="8">
        <f t="shared" si="2"/>
        <v>4900662</v>
      </c>
      <c r="Q18" s="8">
        <f t="shared" si="7"/>
        <v>1960264.8</v>
      </c>
      <c r="R18" s="8">
        <f t="shared" si="8"/>
        <v>6381835.2000000002</v>
      </c>
    </row>
    <row r="19" spans="1:20" ht="18" x14ac:dyDescent="0.2">
      <c r="A19" s="35">
        <v>15</v>
      </c>
      <c r="B19" s="7" t="s">
        <v>21</v>
      </c>
      <c r="C19" s="8">
        <f t="shared" si="9"/>
        <v>29250</v>
      </c>
      <c r="D19" s="8"/>
      <c r="E19" s="8">
        <v>100</v>
      </c>
      <c r="F19" s="81">
        <f t="shared" si="10"/>
        <v>0</v>
      </c>
      <c r="G19" s="77">
        <v>2</v>
      </c>
      <c r="H19" s="77">
        <v>80</v>
      </c>
      <c r="I19" s="8">
        <f>G19*C19*27*1.6*H19/100</f>
        <v>2021760</v>
      </c>
      <c r="J19" s="8">
        <v>5</v>
      </c>
      <c r="K19" s="8">
        <v>80</v>
      </c>
      <c r="L19" s="8">
        <f t="shared" si="4"/>
        <v>10881000</v>
      </c>
      <c r="M19" s="8">
        <f t="shared" si="5"/>
        <v>12902760</v>
      </c>
      <c r="N19" s="7">
        <v>3</v>
      </c>
      <c r="O19" s="8">
        <f t="shared" si="6"/>
        <v>737100</v>
      </c>
      <c r="P19" s="8">
        <f t="shared" si="2"/>
        <v>6282900</v>
      </c>
      <c r="Q19" s="8">
        <f t="shared" si="7"/>
        <v>2513160</v>
      </c>
      <c r="R19" s="8">
        <f t="shared" si="8"/>
        <v>10389600</v>
      </c>
    </row>
    <row r="20" spans="1:20" s="45" customFormat="1" ht="19" x14ac:dyDescent="0.25">
      <c r="A20" s="40"/>
      <c r="B20" s="41"/>
      <c r="C20" s="42"/>
      <c r="D20" s="42"/>
      <c r="E20" s="42"/>
      <c r="F20" s="8">
        <f t="shared" ref="F20" si="11">E20/100*D20*C20</f>
        <v>0</v>
      </c>
      <c r="G20" s="78"/>
      <c r="H20" s="78"/>
      <c r="I20" s="8">
        <f t="shared" ref="I20" si="12">G20*H20/100*C20</f>
        <v>0</v>
      </c>
      <c r="J20" s="42"/>
      <c r="K20" s="42"/>
      <c r="L20" s="42"/>
      <c r="M20" s="42"/>
      <c r="N20" s="43"/>
      <c r="O20" s="44"/>
      <c r="P20" s="44"/>
      <c r="Q20" s="44"/>
      <c r="R20" s="44">
        <f>SUM(R5:R19)</f>
        <v>97150996.799999982</v>
      </c>
    </row>
    <row r="21" spans="1:20" ht="23.25" customHeight="1" x14ac:dyDescent="0.2"/>
    <row r="22" spans="1:20" s="16" customFormat="1" ht="63.75" customHeight="1" x14ac:dyDescent="0.2">
      <c r="A22" s="15"/>
      <c r="B22" s="15"/>
      <c r="C22" s="13" t="s">
        <v>65</v>
      </c>
      <c r="D22" s="13" t="s">
        <v>29</v>
      </c>
      <c r="E22" s="13" t="s">
        <v>31</v>
      </c>
      <c r="F22" s="13" t="s">
        <v>30</v>
      </c>
      <c r="G22" s="13" t="s">
        <v>64</v>
      </c>
      <c r="H22" s="14" t="s">
        <v>22</v>
      </c>
      <c r="I22" s="14" t="s">
        <v>23</v>
      </c>
      <c r="J22" s="14" t="s">
        <v>24</v>
      </c>
      <c r="K22" s="13" t="s">
        <v>25</v>
      </c>
      <c r="L22" s="14" t="s">
        <v>26</v>
      </c>
    </row>
    <row r="23" spans="1:20" ht="18" x14ac:dyDescent="0.2">
      <c r="A23" s="35">
        <v>1</v>
      </c>
      <c r="B23" s="7" t="s">
        <v>4</v>
      </c>
      <c r="C23" s="8">
        <v>2340000</v>
      </c>
      <c r="D23" s="77">
        <v>8</v>
      </c>
      <c r="E23" s="8"/>
      <c r="F23" s="8">
        <v>100</v>
      </c>
      <c r="G23" s="17">
        <f>C23*D23*((E23+F23)/100)</f>
        <v>18720000</v>
      </c>
      <c r="H23" s="7">
        <v>4.9800000000000004</v>
      </c>
      <c r="I23" s="8">
        <f>H23*2340000*10.5%</f>
        <v>1223586.0000000002</v>
      </c>
      <c r="J23" s="8">
        <f t="shared" ref="J23:J25" si="13">H23*2340000-I23</f>
        <v>10429614.000000002</v>
      </c>
      <c r="K23" s="8">
        <f>J23*40%</f>
        <v>4171845.600000001</v>
      </c>
      <c r="L23" s="8">
        <f>G23-K23</f>
        <v>14548154.399999999</v>
      </c>
      <c r="P23" s="3">
        <f>R20+M25</f>
        <v>139561250.39999998</v>
      </c>
      <c r="T23" s="49"/>
    </row>
    <row r="24" spans="1:20" ht="18" x14ac:dyDescent="0.2">
      <c r="A24" s="35">
        <v>2</v>
      </c>
      <c r="B24" s="7" t="s">
        <v>5</v>
      </c>
      <c r="C24" s="8">
        <v>2340000</v>
      </c>
      <c r="D24" s="77">
        <v>7.5</v>
      </c>
      <c r="E24" s="8">
        <v>100</v>
      </c>
      <c r="F24" s="8">
        <v>100</v>
      </c>
      <c r="G24" s="17">
        <f t="shared" ref="G24:G25" si="14">C24*D24*((E24+F24)/2)/100</f>
        <v>17550000</v>
      </c>
      <c r="H24" s="7">
        <v>4.32</v>
      </c>
      <c r="I24" s="8">
        <f t="shared" ref="I24:I25" si="15">H24*2340000*10.5%</f>
        <v>1061424</v>
      </c>
      <c r="J24" s="8">
        <f t="shared" si="13"/>
        <v>9047376</v>
      </c>
      <c r="K24" s="8">
        <f t="shared" ref="K24:K25" si="16">J24*40%</f>
        <v>3618950.4000000004</v>
      </c>
      <c r="L24" s="8">
        <f t="shared" ref="L24:L25" si="17">G24-K24</f>
        <v>13931049.6</v>
      </c>
      <c r="P24" s="118">
        <f>R20+M30</f>
        <v>140440996.79999998</v>
      </c>
      <c r="T24" s="49"/>
    </row>
    <row r="25" spans="1:20" ht="18" x14ac:dyDescent="0.2">
      <c r="A25" s="35">
        <v>3</v>
      </c>
      <c r="B25" s="7" t="s">
        <v>6</v>
      </c>
      <c r="C25" s="8">
        <v>2340000</v>
      </c>
      <c r="D25" s="77">
        <v>7.5</v>
      </c>
      <c r="E25" s="8">
        <v>100</v>
      </c>
      <c r="F25" s="8">
        <v>100</v>
      </c>
      <c r="G25" s="17">
        <f t="shared" si="14"/>
        <v>17550000</v>
      </c>
      <c r="H25" s="9">
        <v>4.32</v>
      </c>
      <c r="I25" s="8">
        <f t="shared" si="15"/>
        <v>1061424</v>
      </c>
      <c r="J25" s="8">
        <f t="shared" si="13"/>
        <v>9047376</v>
      </c>
      <c r="K25" s="8">
        <f t="shared" si="16"/>
        <v>3618950.4000000004</v>
      </c>
      <c r="L25" s="8">
        <f t="shared" si="17"/>
        <v>13931049.6</v>
      </c>
      <c r="M25" s="3">
        <f>SUM(L23:L25)</f>
        <v>42410253.600000001</v>
      </c>
      <c r="O25" t="s">
        <v>62</v>
      </c>
      <c r="P25" s="119">
        <v>133000000</v>
      </c>
      <c r="T25" s="49"/>
    </row>
    <row r="26" spans="1:20" s="47" customFormat="1" ht="16" x14ac:dyDescent="0.2">
      <c r="A26" s="46"/>
      <c r="C26" s="48"/>
      <c r="D26" s="48"/>
      <c r="E26" s="48"/>
      <c r="F26" s="48"/>
      <c r="G26" s="80"/>
      <c r="H26" s="80"/>
      <c r="I26" s="48"/>
      <c r="J26" s="48"/>
      <c r="K26" s="48"/>
      <c r="L26" s="48"/>
      <c r="M26" s="108"/>
      <c r="N26" s="109"/>
      <c r="O26" s="109"/>
      <c r="P26" s="109"/>
      <c r="Q26" s="109"/>
      <c r="R26" s="108"/>
    </row>
    <row r="27" spans="1:20" s="47" customFormat="1" ht="45" x14ac:dyDescent="0.2">
      <c r="A27" s="15"/>
      <c r="B27" s="15"/>
      <c r="C27" s="13" t="s">
        <v>65</v>
      </c>
      <c r="D27" s="13" t="s">
        <v>29</v>
      </c>
      <c r="E27" s="13" t="s">
        <v>31</v>
      </c>
      <c r="F27" s="13" t="s">
        <v>30</v>
      </c>
      <c r="G27" s="13" t="s">
        <v>64</v>
      </c>
      <c r="H27" s="14" t="s">
        <v>22</v>
      </c>
      <c r="I27" s="14" t="s">
        <v>23</v>
      </c>
      <c r="J27" s="14" t="s">
        <v>24</v>
      </c>
      <c r="K27" s="13" t="s">
        <v>25</v>
      </c>
      <c r="L27" s="14" t="s">
        <v>26</v>
      </c>
      <c r="M27" s="108"/>
      <c r="N27" s="109"/>
      <c r="O27" s="109"/>
      <c r="P27" s="109"/>
      <c r="Q27" s="109"/>
      <c r="R27" s="110"/>
    </row>
    <row r="28" spans="1:20" s="47" customFormat="1" ht="18" x14ac:dyDescent="0.2">
      <c r="A28" s="35">
        <v>1</v>
      </c>
      <c r="B28" s="7" t="s">
        <v>4</v>
      </c>
      <c r="C28" s="8">
        <v>2340000</v>
      </c>
      <c r="D28" s="77">
        <v>6.5</v>
      </c>
      <c r="E28" s="8"/>
      <c r="F28" s="8">
        <v>100</v>
      </c>
      <c r="G28" s="17">
        <f>C28*D28*((E28+F28)/100)</f>
        <v>15210000</v>
      </c>
      <c r="H28" s="7">
        <v>4.9800000000000004</v>
      </c>
      <c r="I28" s="8">
        <f>H28*2340000*10.5%</f>
        <v>1223586.0000000002</v>
      </c>
      <c r="J28" s="8">
        <f t="shared" ref="J28:J30" si="18">H28*2340000-I28</f>
        <v>10429614.000000002</v>
      </c>
      <c r="K28" s="8"/>
      <c r="L28" s="8">
        <f>G28-K28</f>
        <v>15210000</v>
      </c>
      <c r="M28" s="111"/>
      <c r="N28" s="112"/>
      <c r="O28" s="113"/>
      <c r="P28" s="113"/>
      <c r="Q28" s="113"/>
      <c r="R28" s="113"/>
    </row>
    <row r="29" spans="1:20" s="47" customFormat="1" ht="18" x14ac:dyDescent="0.2">
      <c r="A29" s="35">
        <v>2</v>
      </c>
      <c r="B29" s="7" t="s">
        <v>5</v>
      </c>
      <c r="C29" s="8">
        <v>2340000</v>
      </c>
      <c r="D29" s="77">
        <v>6</v>
      </c>
      <c r="E29" s="8">
        <v>100</v>
      </c>
      <c r="F29" s="8">
        <v>100</v>
      </c>
      <c r="G29" s="17">
        <f t="shared" ref="G29:G30" si="19">C29*D29*((E29+F29)/2)/100</f>
        <v>14040000</v>
      </c>
      <c r="H29" s="7">
        <v>4.32</v>
      </c>
      <c r="I29" s="8">
        <f t="shared" ref="I29:I30" si="20">H29*2340000*10.5%</f>
        <v>1061424</v>
      </c>
      <c r="J29" s="8">
        <f t="shared" si="18"/>
        <v>9047376</v>
      </c>
      <c r="K29" s="8"/>
      <c r="L29" s="8">
        <f t="shared" ref="L29:L30" si="21">G29-K29</f>
        <v>14040000</v>
      </c>
      <c r="M29" s="111"/>
      <c r="N29" s="112"/>
      <c r="O29" s="113"/>
      <c r="P29" s="113"/>
      <c r="Q29" s="113"/>
      <c r="R29" s="113"/>
    </row>
    <row r="30" spans="1:20" s="47" customFormat="1" ht="18" x14ac:dyDescent="0.2">
      <c r="A30" s="35">
        <v>3</v>
      </c>
      <c r="B30" s="7" t="s">
        <v>6</v>
      </c>
      <c r="C30" s="8">
        <v>2340000</v>
      </c>
      <c r="D30" s="77">
        <v>6</v>
      </c>
      <c r="E30" s="8">
        <v>100</v>
      </c>
      <c r="F30" s="8">
        <v>100</v>
      </c>
      <c r="G30" s="17">
        <f t="shared" si="19"/>
        <v>14040000</v>
      </c>
      <c r="H30" s="9">
        <v>4.32</v>
      </c>
      <c r="I30" s="8">
        <f t="shared" si="20"/>
        <v>1061424</v>
      </c>
      <c r="J30" s="8">
        <f t="shared" si="18"/>
        <v>9047376</v>
      </c>
      <c r="K30" s="8"/>
      <c r="L30" s="8">
        <f t="shared" si="21"/>
        <v>14040000</v>
      </c>
      <c r="M30" s="111">
        <f>SUM(L28:L30)</f>
        <v>43290000</v>
      </c>
      <c r="N30" s="114"/>
      <c r="O30" s="113"/>
      <c r="P30" s="113"/>
      <c r="Q30" s="113"/>
      <c r="R30" s="113"/>
    </row>
    <row r="31" spans="1:20" s="47" customFormat="1" ht="16" x14ac:dyDescent="0.2">
      <c r="A31" s="46"/>
      <c r="C31" s="48"/>
      <c r="D31" s="48"/>
      <c r="E31" s="48"/>
      <c r="F31" s="48"/>
      <c r="G31" s="80"/>
      <c r="H31" s="80"/>
      <c r="I31" s="48"/>
      <c r="J31" s="48"/>
      <c r="K31" s="48"/>
      <c r="L31" s="48"/>
      <c r="M31" s="108"/>
      <c r="N31" s="109"/>
      <c r="O31" s="109"/>
      <c r="P31" s="109"/>
      <c r="Q31" s="109"/>
      <c r="R31" s="109"/>
    </row>
    <row r="32" spans="1:20" s="47" customFormat="1" ht="16" x14ac:dyDescent="0.2">
      <c r="A32" s="46"/>
      <c r="C32" s="48"/>
      <c r="D32" s="48"/>
      <c r="E32" s="48"/>
      <c r="F32" s="48"/>
      <c r="G32" s="80"/>
      <c r="H32" s="80"/>
      <c r="I32" s="48"/>
      <c r="J32" s="48"/>
      <c r="K32" s="48"/>
      <c r="L32" s="48"/>
      <c r="M32" s="108"/>
      <c r="N32" s="109"/>
      <c r="O32" s="112"/>
      <c r="P32" s="115"/>
      <c r="Q32" s="109"/>
      <c r="R32" s="109"/>
    </row>
    <row r="33" spans="1:18" s="47" customFormat="1" ht="16" x14ac:dyDescent="0.2">
      <c r="A33" s="46"/>
      <c r="C33" s="48"/>
      <c r="D33" s="48"/>
      <c r="E33" s="48"/>
      <c r="F33" s="48"/>
      <c r="G33" s="80"/>
      <c r="H33" s="80"/>
      <c r="I33" s="48"/>
      <c r="J33" s="48"/>
      <c r="K33" s="48"/>
      <c r="L33" s="48"/>
      <c r="M33" s="108"/>
      <c r="N33" s="109"/>
      <c r="O33" s="109"/>
      <c r="P33" s="109"/>
      <c r="Q33" s="109"/>
      <c r="R33" s="109"/>
    </row>
    <row r="34" spans="1:18" s="47" customFormat="1" ht="16" x14ac:dyDescent="0.2">
      <c r="A34" s="46"/>
      <c r="C34" s="48"/>
      <c r="D34" s="48"/>
      <c r="E34" s="48"/>
      <c r="F34" s="48"/>
      <c r="G34" s="80"/>
      <c r="H34" s="80"/>
      <c r="I34" s="48"/>
      <c r="J34" s="48"/>
      <c r="K34" s="48"/>
      <c r="L34" s="48"/>
      <c r="M34" s="108"/>
      <c r="N34" s="109"/>
      <c r="O34" s="109"/>
      <c r="P34" s="109"/>
      <c r="Q34" s="109"/>
      <c r="R34" s="109"/>
    </row>
    <row r="35" spans="1:18" x14ac:dyDescent="0.2">
      <c r="M35" s="116"/>
      <c r="N35" s="117"/>
      <c r="O35" s="117"/>
      <c r="P35" s="117"/>
      <c r="Q35" s="117"/>
      <c r="R35" s="117"/>
    </row>
    <row r="36" spans="1:18" x14ac:dyDescent="0.2">
      <c r="M36" s="116"/>
      <c r="N36" s="117"/>
      <c r="O36" s="117"/>
      <c r="P36" s="117"/>
      <c r="Q36" s="117"/>
      <c r="R36" s="117"/>
    </row>
  </sheetData>
  <mergeCells count="13">
    <mergeCell ref="A1:R1"/>
    <mergeCell ref="D3:F3"/>
    <mergeCell ref="G3:I3"/>
    <mergeCell ref="J3:L3"/>
    <mergeCell ref="M3:M4"/>
    <mergeCell ref="N3:N4"/>
    <mergeCell ref="O3:O4"/>
    <mergeCell ref="P3:P4"/>
    <mergeCell ref="Q3:Q4"/>
    <mergeCell ref="R3:R4"/>
    <mergeCell ref="A3:A4"/>
    <mergeCell ref="B3:B4"/>
    <mergeCell ref="C3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FB66-8543-F14F-82FE-7CE1AF963F08}">
  <dimension ref="A1:R18"/>
  <sheetViews>
    <sheetView workbookViewId="0">
      <selection activeCell="H27" sqref="H27"/>
    </sheetView>
  </sheetViews>
  <sheetFormatPr baseColWidth="10" defaultColWidth="11.5" defaultRowHeight="15" x14ac:dyDescent="0.2"/>
  <cols>
    <col min="1" max="1" width="3.6640625" bestFit="1" customWidth="1"/>
    <col min="2" max="2" width="22" customWidth="1"/>
    <col min="4" max="4" width="10.33203125" style="79" customWidth="1"/>
    <col min="5" max="5" width="12.83203125" customWidth="1"/>
    <col min="6" max="6" width="12.33203125" bestFit="1" customWidth="1"/>
    <col min="8" max="8" width="14.33203125" bestFit="1" customWidth="1"/>
    <col min="11" max="11" width="13.1640625" customWidth="1"/>
    <col min="13" max="13" width="13.1640625" customWidth="1"/>
    <col min="14" max="14" width="18.5" bestFit="1" customWidth="1"/>
  </cols>
  <sheetData>
    <row r="1" spans="1:18" ht="18" x14ac:dyDescent="0.2">
      <c r="A1" s="92"/>
      <c r="B1" s="92"/>
      <c r="C1" s="92"/>
      <c r="D1" s="92"/>
      <c r="E1" s="92"/>
      <c r="F1" s="92"/>
      <c r="G1" s="92"/>
      <c r="H1" s="92"/>
      <c r="I1" s="20"/>
      <c r="J1" s="20"/>
      <c r="K1" s="20"/>
      <c r="L1" s="21"/>
      <c r="M1" s="20"/>
    </row>
    <row r="2" spans="1:18" ht="17" x14ac:dyDescent="0.2">
      <c r="A2" s="136" t="s">
        <v>0</v>
      </c>
      <c r="B2" s="136" t="s">
        <v>1</v>
      </c>
      <c r="C2" s="104" t="s">
        <v>63</v>
      </c>
      <c r="D2" s="89" t="s">
        <v>78</v>
      </c>
      <c r="E2" s="90"/>
      <c r="F2" s="91"/>
      <c r="G2" s="89" t="s">
        <v>79</v>
      </c>
      <c r="H2" s="90"/>
      <c r="I2" s="91"/>
      <c r="J2" s="89" t="s">
        <v>80</v>
      </c>
      <c r="K2" s="90"/>
      <c r="L2" s="91"/>
      <c r="M2" s="104" t="s">
        <v>27</v>
      </c>
      <c r="N2" s="106" t="s">
        <v>22</v>
      </c>
      <c r="O2" s="106" t="s">
        <v>23</v>
      </c>
      <c r="P2" s="106" t="s">
        <v>24</v>
      </c>
      <c r="Q2" s="104" t="s">
        <v>25</v>
      </c>
      <c r="R2" s="106" t="s">
        <v>26</v>
      </c>
    </row>
    <row r="3" spans="1:18" ht="18" customHeight="1" x14ac:dyDescent="0.2">
      <c r="A3" s="136"/>
      <c r="B3" s="136"/>
      <c r="C3" s="105"/>
      <c r="D3" s="140" t="s">
        <v>76</v>
      </c>
      <c r="E3" s="6" t="s">
        <v>70</v>
      </c>
      <c r="F3" s="6" t="s">
        <v>77</v>
      </c>
      <c r="G3" s="55" t="s">
        <v>76</v>
      </c>
      <c r="H3" s="55" t="s">
        <v>70</v>
      </c>
      <c r="I3" s="6" t="s">
        <v>77</v>
      </c>
      <c r="J3" s="6" t="s">
        <v>76</v>
      </c>
      <c r="K3" s="6" t="s">
        <v>70</v>
      </c>
      <c r="L3" s="6" t="s">
        <v>77</v>
      </c>
      <c r="M3" s="105"/>
      <c r="N3" s="107"/>
      <c r="O3" s="107"/>
      <c r="P3" s="107"/>
      <c r="Q3" s="105"/>
      <c r="R3" s="107"/>
    </row>
    <row r="4" spans="1:18" ht="18" x14ac:dyDescent="0.2">
      <c r="A4" s="120">
        <v>1</v>
      </c>
      <c r="B4" s="29" t="s">
        <v>56</v>
      </c>
      <c r="C4" s="8">
        <f t="shared" ref="C4:C5" si="0">234000/8</f>
        <v>29250</v>
      </c>
      <c r="D4" s="77"/>
      <c r="E4" s="8">
        <v>100</v>
      </c>
      <c r="F4" s="132">
        <f t="shared" ref="F4:F11" si="1">D4*E4/100*C4*22</f>
        <v>0</v>
      </c>
      <c r="G4" s="133">
        <v>6.5</v>
      </c>
      <c r="H4" s="77">
        <v>100</v>
      </c>
      <c r="I4" s="8">
        <f>G4*C4*31*1.6*H4/100</f>
        <v>9430200</v>
      </c>
      <c r="J4" s="8"/>
      <c r="K4" s="8">
        <v>100</v>
      </c>
      <c r="L4" s="8">
        <f>K4/100*J4*C4*3*31</f>
        <v>0</v>
      </c>
      <c r="M4" s="8">
        <f>I4+L4+F4</f>
        <v>9430200</v>
      </c>
      <c r="N4" s="26">
        <v>2.34</v>
      </c>
      <c r="O4" s="25">
        <f>N4*2340000*10.5%</f>
        <v>574938</v>
      </c>
      <c r="P4" s="25">
        <f>N4*2340000-O4</f>
        <v>4900662</v>
      </c>
      <c r="Q4" s="25">
        <f>P4*0.4</f>
        <v>1960264.8</v>
      </c>
      <c r="R4" s="25">
        <f>M4-Q4</f>
        <v>7469935.2000000002</v>
      </c>
    </row>
    <row r="5" spans="1:18" ht="18" x14ac:dyDescent="0.2">
      <c r="A5" s="120">
        <v>2</v>
      </c>
      <c r="B5" s="29" t="s">
        <v>57</v>
      </c>
      <c r="C5" s="8">
        <f t="shared" si="0"/>
        <v>29250</v>
      </c>
      <c r="D5" s="77"/>
      <c r="E5" s="8">
        <v>100</v>
      </c>
      <c r="F5" s="132">
        <f t="shared" si="1"/>
        <v>0</v>
      </c>
      <c r="G5" s="134">
        <v>6.5</v>
      </c>
      <c r="H5" s="77">
        <v>100</v>
      </c>
      <c r="I5" s="8">
        <f t="shared" ref="I5:I11" si="2">G5*C5*31*1.6*H5/100</f>
        <v>9430200</v>
      </c>
      <c r="J5" s="8"/>
      <c r="K5" s="8">
        <v>100</v>
      </c>
      <c r="L5" s="8">
        <f t="shared" ref="L5:L11" si="3">K5/100*J5*C5*3*31</f>
        <v>0</v>
      </c>
      <c r="M5" s="8">
        <f t="shared" ref="M5:M11" si="4">I5+L5+F5</f>
        <v>9430200</v>
      </c>
      <c r="N5" s="26">
        <v>2.34</v>
      </c>
      <c r="O5" s="25">
        <f t="shared" ref="O5:O10" si="5">N5*2340000*10.5%</f>
        <v>574938</v>
      </c>
      <c r="P5" s="25">
        <f t="shared" ref="P5:P10" si="6">N5*2340000-O5</f>
        <v>4900662</v>
      </c>
      <c r="Q5" s="25">
        <f t="shared" ref="Q5:Q10" si="7">P5*0.4</f>
        <v>1960264.8</v>
      </c>
      <c r="R5" s="25">
        <f t="shared" ref="R5:R10" si="8">M5-Q5</f>
        <v>7469935.2000000002</v>
      </c>
    </row>
    <row r="6" spans="1:18" ht="18" x14ac:dyDescent="0.2">
      <c r="A6" s="120">
        <v>3</v>
      </c>
      <c r="B6" s="29" t="s">
        <v>58</v>
      </c>
      <c r="C6" s="8">
        <f>234000/8</f>
        <v>29250</v>
      </c>
      <c r="D6" s="77"/>
      <c r="E6" s="8">
        <v>100</v>
      </c>
      <c r="F6" s="132">
        <f t="shared" si="1"/>
        <v>0</v>
      </c>
      <c r="G6" s="134">
        <v>6.5</v>
      </c>
      <c r="H6" s="77">
        <v>100</v>
      </c>
      <c r="I6" s="8">
        <f t="shared" si="2"/>
        <v>9430200</v>
      </c>
      <c r="J6" s="8"/>
      <c r="K6" s="8">
        <v>100</v>
      </c>
      <c r="L6" s="8">
        <f t="shared" si="3"/>
        <v>0</v>
      </c>
      <c r="M6" s="8">
        <f t="shared" si="4"/>
        <v>9430200</v>
      </c>
      <c r="N6" s="27">
        <v>3.66</v>
      </c>
      <c r="O6" s="25">
        <f t="shared" si="5"/>
        <v>899262</v>
      </c>
      <c r="P6" s="25">
        <f t="shared" si="6"/>
        <v>7665138</v>
      </c>
      <c r="Q6" s="25">
        <f t="shared" si="7"/>
        <v>3066055.2</v>
      </c>
      <c r="R6" s="25">
        <f t="shared" si="8"/>
        <v>6364144.7999999998</v>
      </c>
    </row>
    <row r="7" spans="1:18" ht="18" x14ac:dyDescent="0.2">
      <c r="A7" s="120">
        <v>4</v>
      </c>
      <c r="B7" s="29" t="s">
        <v>59</v>
      </c>
      <c r="C7" s="8">
        <f t="shared" ref="C7:C11" si="9">234000/8</f>
        <v>29250</v>
      </c>
      <c r="D7" s="77">
        <v>3.5</v>
      </c>
      <c r="E7" s="8">
        <v>100</v>
      </c>
      <c r="F7" s="132">
        <f>D7*E7/100*C7*22</f>
        <v>2252250</v>
      </c>
      <c r="G7" s="134">
        <v>5</v>
      </c>
      <c r="H7" s="77">
        <v>100</v>
      </c>
      <c r="I7" s="8">
        <f>G7*C7*22*1.6*H7/100</f>
        <v>5148000</v>
      </c>
      <c r="J7" s="8"/>
      <c r="K7" s="8">
        <v>100</v>
      </c>
      <c r="L7" s="8">
        <f t="shared" si="3"/>
        <v>0</v>
      </c>
      <c r="M7" s="8">
        <f t="shared" si="4"/>
        <v>7400250</v>
      </c>
      <c r="N7" s="27">
        <v>2.06</v>
      </c>
      <c r="O7" s="25">
        <f t="shared" si="5"/>
        <v>506142</v>
      </c>
      <c r="P7" s="25">
        <f t="shared" si="6"/>
        <v>4314258</v>
      </c>
      <c r="Q7" s="25">
        <f t="shared" si="7"/>
        <v>1725703.2000000002</v>
      </c>
      <c r="R7" s="25">
        <f t="shared" si="8"/>
        <v>5674546.7999999998</v>
      </c>
    </row>
    <row r="8" spans="1:18" ht="18" x14ac:dyDescent="0.2">
      <c r="A8" s="120">
        <v>5</v>
      </c>
      <c r="B8" s="29" t="s">
        <v>60</v>
      </c>
      <c r="C8" s="8">
        <f t="shared" si="9"/>
        <v>29250</v>
      </c>
      <c r="D8" s="77"/>
      <c r="E8" s="8">
        <v>100</v>
      </c>
      <c r="F8" s="132">
        <f t="shared" si="1"/>
        <v>0</v>
      </c>
      <c r="G8" s="134">
        <v>6.5</v>
      </c>
      <c r="H8" s="77">
        <v>100</v>
      </c>
      <c r="I8" s="8">
        <f t="shared" si="2"/>
        <v>9430200</v>
      </c>
      <c r="J8" s="8"/>
      <c r="K8" s="8">
        <v>100</v>
      </c>
      <c r="L8" s="8">
        <f t="shared" si="3"/>
        <v>0</v>
      </c>
      <c r="M8" s="8">
        <f t="shared" si="4"/>
        <v>9430200</v>
      </c>
      <c r="N8" s="28">
        <v>1.9890000000000001</v>
      </c>
      <c r="O8" s="25">
        <f t="shared" si="5"/>
        <v>488697.3</v>
      </c>
      <c r="P8" s="25">
        <f t="shared" si="6"/>
        <v>4165562.7</v>
      </c>
      <c r="Q8" s="25">
        <f t="shared" si="7"/>
        <v>1666225.08</v>
      </c>
      <c r="R8" s="25">
        <f t="shared" si="8"/>
        <v>7763974.9199999999</v>
      </c>
    </row>
    <row r="9" spans="1:18" ht="18" x14ac:dyDescent="0.2">
      <c r="A9" s="120">
        <v>6</v>
      </c>
      <c r="B9" s="29" t="s">
        <v>54</v>
      </c>
      <c r="C9" s="8">
        <f t="shared" si="9"/>
        <v>29250</v>
      </c>
      <c r="D9" s="77"/>
      <c r="E9" s="8">
        <v>100</v>
      </c>
      <c r="F9" s="132">
        <f t="shared" si="1"/>
        <v>0</v>
      </c>
      <c r="G9" s="133">
        <v>2</v>
      </c>
      <c r="H9" s="77">
        <v>100</v>
      </c>
      <c r="I9" s="8">
        <f>G9*C9*27*1.6*H9/100</f>
        <v>2527200</v>
      </c>
      <c r="J9" s="71">
        <v>5.5</v>
      </c>
      <c r="K9" s="8">
        <v>100</v>
      </c>
      <c r="L9" s="8">
        <f>K9/100*J9*C9*3*27</f>
        <v>13030875</v>
      </c>
      <c r="M9" s="8">
        <f t="shared" si="4"/>
        <v>15558075</v>
      </c>
      <c r="N9" s="29">
        <v>3.99</v>
      </c>
      <c r="O9" s="25">
        <f t="shared" si="5"/>
        <v>980343</v>
      </c>
      <c r="P9" s="25">
        <f t="shared" si="6"/>
        <v>8356257</v>
      </c>
      <c r="Q9" s="25">
        <f t="shared" si="7"/>
        <v>3342502.8000000003</v>
      </c>
      <c r="R9" s="25">
        <f t="shared" si="8"/>
        <v>12215572.199999999</v>
      </c>
    </row>
    <row r="10" spans="1:18" s="124" customFormat="1" ht="18" x14ac:dyDescent="0.2">
      <c r="A10" s="131">
        <v>7</v>
      </c>
      <c r="B10" s="130" t="s">
        <v>55</v>
      </c>
      <c r="C10" s="125">
        <f t="shared" si="9"/>
        <v>29250</v>
      </c>
      <c r="D10" s="126"/>
      <c r="E10" s="125">
        <v>100</v>
      </c>
      <c r="F10" s="135">
        <f t="shared" si="1"/>
        <v>0</v>
      </c>
      <c r="G10" s="134">
        <v>4</v>
      </c>
      <c r="H10" s="77">
        <v>100</v>
      </c>
      <c r="I10" s="125">
        <f>G10*C10*15*1.6*H10/100</f>
        <v>2808000</v>
      </c>
      <c r="J10" s="125"/>
      <c r="K10" s="125">
        <v>100</v>
      </c>
      <c r="L10" s="125">
        <f t="shared" si="3"/>
        <v>0</v>
      </c>
      <c r="M10" s="125">
        <f t="shared" si="4"/>
        <v>2808000</v>
      </c>
      <c r="N10" s="127">
        <v>3.99</v>
      </c>
      <c r="O10" s="128">
        <f t="shared" si="5"/>
        <v>980343</v>
      </c>
      <c r="P10" s="128">
        <f t="shared" si="6"/>
        <v>8356257</v>
      </c>
      <c r="Q10" s="128">
        <f t="shared" si="7"/>
        <v>3342502.8000000003</v>
      </c>
      <c r="R10" s="128">
        <f>P11*0.4</f>
        <v>3342502.8000000003</v>
      </c>
    </row>
    <row r="11" spans="1:18" s="123" customFormat="1" ht="18" x14ac:dyDescent="0.2">
      <c r="A11" s="131"/>
      <c r="B11" s="130"/>
      <c r="C11" s="125">
        <f t="shared" si="9"/>
        <v>29250</v>
      </c>
      <c r="D11" s="126"/>
      <c r="E11" s="125">
        <v>100</v>
      </c>
      <c r="F11" s="135">
        <f t="shared" si="1"/>
        <v>0</v>
      </c>
      <c r="G11" s="134">
        <v>5.5</v>
      </c>
      <c r="H11" s="77">
        <v>100</v>
      </c>
      <c r="I11" s="125">
        <f>G11*C11*15*1.6*H11/100</f>
        <v>3861000</v>
      </c>
      <c r="J11" s="125"/>
      <c r="K11" s="125">
        <v>100</v>
      </c>
      <c r="L11" s="125">
        <f t="shared" si="3"/>
        <v>0</v>
      </c>
      <c r="M11" s="125">
        <f t="shared" si="4"/>
        <v>3861000</v>
      </c>
      <c r="N11" s="129">
        <v>3.99</v>
      </c>
      <c r="O11" s="128">
        <f t="shared" ref="O11" si="10">N11*2340000*10.5%</f>
        <v>980343</v>
      </c>
      <c r="P11" s="128">
        <f t="shared" ref="P11" si="11">N11*2340000-O11</f>
        <v>8356257</v>
      </c>
      <c r="Q11" s="128"/>
      <c r="R11" s="128">
        <f t="shared" ref="R11" si="12">M11-Q11</f>
        <v>3861000</v>
      </c>
    </row>
    <row r="12" spans="1:18" x14ac:dyDescent="0.2">
      <c r="R12" s="3">
        <f>SUM(R4:R11)</f>
        <v>54161611.920000002</v>
      </c>
    </row>
    <row r="15" spans="1:18" ht="45" x14ac:dyDescent="0.2">
      <c r="A15" s="15"/>
      <c r="B15" s="15"/>
      <c r="C15" s="13" t="s">
        <v>28</v>
      </c>
      <c r="D15" s="137" t="s">
        <v>29</v>
      </c>
      <c r="E15" s="13" t="s">
        <v>2</v>
      </c>
      <c r="F15" s="15" t="s">
        <v>30</v>
      </c>
      <c r="G15" s="15" t="s">
        <v>31</v>
      </c>
      <c r="H15" s="22" t="s">
        <v>27</v>
      </c>
      <c r="I15" s="14" t="s">
        <v>22</v>
      </c>
      <c r="J15" s="14" t="s">
        <v>23</v>
      </c>
      <c r="K15" s="14" t="s">
        <v>24</v>
      </c>
      <c r="L15" s="13" t="s">
        <v>25</v>
      </c>
      <c r="M15" s="14" t="s">
        <v>26</v>
      </c>
    </row>
    <row r="16" spans="1:18" ht="17" x14ac:dyDescent="0.2">
      <c r="A16" s="29">
        <v>1</v>
      </c>
      <c r="B16" s="29" t="s">
        <v>53</v>
      </c>
      <c r="C16" s="30">
        <v>2340000</v>
      </c>
      <c r="D16" s="138"/>
      <c r="E16" s="30">
        <f>C16*D16</f>
        <v>0</v>
      </c>
      <c r="F16" s="24"/>
      <c r="G16" s="24"/>
      <c r="H16" s="30">
        <f>(F16%*0.5)*E16+(G16%*0.5)*E16</f>
        <v>0</v>
      </c>
      <c r="I16" s="29">
        <v>4.9800000000000004</v>
      </c>
      <c r="J16" s="25">
        <f>I16*2340000*10.5%</f>
        <v>1223586.0000000002</v>
      </c>
      <c r="K16" s="25">
        <f>I16*2340000-J16</f>
        <v>10429614.000000002</v>
      </c>
      <c r="L16" s="25">
        <f>K16*0.4</f>
        <v>4171845.600000001</v>
      </c>
      <c r="M16" s="25">
        <f>H16-L16</f>
        <v>-4171845.600000001</v>
      </c>
    </row>
    <row r="17" spans="1:13" ht="17" x14ac:dyDescent="0.2">
      <c r="A17" s="29">
        <v>2</v>
      </c>
      <c r="B17" s="29" t="s">
        <v>54</v>
      </c>
      <c r="C17" s="30">
        <v>2340000</v>
      </c>
      <c r="D17" s="138"/>
      <c r="E17" s="30">
        <f t="shared" ref="E17:E18" si="13">C17*D17</f>
        <v>0</v>
      </c>
      <c r="F17" s="24"/>
      <c r="G17" s="31"/>
      <c r="H17" s="30">
        <f>(F17%*0.5)*E17+(G17%*0.5)*E17</f>
        <v>0</v>
      </c>
      <c r="I17" s="29">
        <v>3.99</v>
      </c>
      <c r="J17" s="25">
        <f t="shared" ref="J17:J18" si="14">I17*2340000*10.5%</f>
        <v>980343</v>
      </c>
      <c r="K17" s="25">
        <f t="shared" ref="K17:K18" si="15">I17*2340000-J17</f>
        <v>8356257</v>
      </c>
      <c r="L17" s="25">
        <f t="shared" ref="L17:L18" si="16">K17*0.4</f>
        <v>3342502.8000000003</v>
      </c>
      <c r="M17" s="25">
        <f t="shared" ref="M17:M18" si="17">H17-L17</f>
        <v>-3342502.8000000003</v>
      </c>
    </row>
    <row r="18" spans="1:13" ht="17" x14ac:dyDescent="0.2">
      <c r="A18" s="23">
        <v>3</v>
      </c>
      <c r="B18" s="24" t="s">
        <v>55</v>
      </c>
      <c r="C18" s="25">
        <v>2340000</v>
      </c>
      <c r="D18" s="139"/>
      <c r="E18" s="30">
        <f t="shared" si="13"/>
        <v>0</v>
      </c>
      <c r="F18" s="24"/>
      <c r="G18" s="24"/>
      <c r="H18" s="30">
        <f>(F18%*0.5)*E18+(G18%*0.5)*E18</f>
        <v>0</v>
      </c>
      <c r="I18" s="26">
        <v>3.99</v>
      </c>
      <c r="J18" s="25">
        <f t="shared" si="14"/>
        <v>980343</v>
      </c>
      <c r="K18" s="25">
        <f t="shared" si="15"/>
        <v>8356257</v>
      </c>
      <c r="L18" s="25">
        <f t="shared" si="16"/>
        <v>3342502.8000000003</v>
      </c>
      <c r="M18" s="25">
        <f t="shared" si="17"/>
        <v>-3342502.8000000003</v>
      </c>
    </row>
  </sheetData>
  <mergeCells count="15">
    <mergeCell ref="A10:A11"/>
    <mergeCell ref="A2:A3"/>
    <mergeCell ref="B2:B3"/>
    <mergeCell ref="N2:N3"/>
    <mergeCell ref="O2:O3"/>
    <mergeCell ref="P2:P3"/>
    <mergeCell ref="Q2:Q3"/>
    <mergeCell ref="R2:R3"/>
    <mergeCell ref="B10:B11"/>
    <mergeCell ref="A1:H1"/>
    <mergeCell ref="C2:C3"/>
    <mergeCell ref="D2:F2"/>
    <mergeCell ref="G2:I2"/>
    <mergeCell ref="J2:L2"/>
    <mergeCell ref="M2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FB0B-3D63-4D4F-B59D-B2B9598F6607}">
  <dimension ref="A3:K12"/>
  <sheetViews>
    <sheetView workbookViewId="0">
      <selection activeCell="K30" sqref="K30"/>
    </sheetView>
  </sheetViews>
  <sheetFormatPr baseColWidth="10" defaultRowHeight="18" x14ac:dyDescent="0.2"/>
  <cols>
    <col min="1" max="1" width="20.33203125" style="18" customWidth="1"/>
    <col min="2" max="8" width="10.83203125" style="64"/>
    <col min="9" max="11" width="10.83203125" style="65"/>
    <col min="12" max="16384" width="10.83203125" style="18"/>
  </cols>
  <sheetData>
    <row r="3" spans="1:11" s="58" customFormat="1" x14ac:dyDescent="0.2">
      <c r="A3" s="56"/>
      <c r="B3" s="83" t="s">
        <v>66</v>
      </c>
      <c r="C3" s="84"/>
      <c r="D3" s="84"/>
      <c r="E3" s="84"/>
      <c r="F3" s="85"/>
      <c r="G3" s="70"/>
      <c r="H3" s="57"/>
      <c r="I3" s="86" t="s">
        <v>70</v>
      </c>
      <c r="J3" s="87"/>
      <c r="K3" s="88"/>
    </row>
    <row r="4" spans="1:11" s="58" customFormat="1" x14ac:dyDescent="0.2">
      <c r="A4" s="56"/>
      <c r="B4" s="57" t="s">
        <v>67</v>
      </c>
      <c r="C4" s="57" t="s">
        <v>76</v>
      </c>
      <c r="D4" s="57" t="s">
        <v>68</v>
      </c>
      <c r="E4" s="57" t="s">
        <v>76</v>
      </c>
      <c r="F4" s="57" t="s">
        <v>69</v>
      </c>
      <c r="G4" s="57" t="s">
        <v>76</v>
      </c>
      <c r="H4" s="57"/>
      <c r="I4" s="59" t="s">
        <v>67</v>
      </c>
      <c r="J4" s="59" t="s">
        <v>68</v>
      </c>
      <c r="K4" s="59" t="s">
        <v>69</v>
      </c>
    </row>
    <row r="5" spans="1:11" s="52" customFormat="1" x14ac:dyDescent="0.2">
      <c r="A5" s="24" t="s">
        <v>56</v>
      </c>
      <c r="B5" s="75"/>
      <c r="C5" s="75"/>
      <c r="D5" s="75">
        <v>7</v>
      </c>
      <c r="E5" s="71">
        <v>6.5</v>
      </c>
      <c r="F5" s="75"/>
      <c r="G5" s="75"/>
      <c r="H5" s="72">
        <f t="shared" ref="H5:H12" si="0">B5+D5+F5</f>
        <v>7</v>
      </c>
      <c r="I5" s="74">
        <v>100</v>
      </c>
      <c r="J5" s="74">
        <v>100</v>
      </c>
      <c r="K5" s="74">
        <v>100</v>
      </c>
    </row>
    <row r="6" spans="1:11" s="52" customFormat="1" x14ac:dyDescent="0.2">
      <c r="A6" s="24" t="s">
        <v>57</v>
      </c>
      <c r="B6" s="75"/>
      <c r="C6" s="75"/>
      <c r="D6" s="75">
        <v>7</v>
      </c>
      <c r="E6" s="75">
        <v>6.5</v>
      </c>
      <c r="F6" s="75"/>
      <c r="G6" s="75"/>
      <c r="H6" s="72">
        <f t="shared" si="0"/>
        <v>7</v>
      </c>
      <c r="I6" s="74">
        <v>100</v>
      </c>
      <c r="J6" s="74">
        <v>100</v>
      </c>
      <c r="K6" s="74">
        <v>100</v>
      </c>
    </row>
    <row r="7" spans="1:11" s="52" customFormat="1" x14ac:dyDescent="0.2">
      <c r="A7" s="24" t="s">
        <v>58</v>
      </c>
      <c r="B7" s="75"/>
      <c r="C7" s="75"/>
      <c r="D7" s="75">
        <v>7</v>
      </c>
      <c r="E7" s="75">
        <v>6.5</v>
      </c>
      <c r="F7" s="75"/>
      <c r="G7" s="75"/>
      <c r="H7" s="72">
        <f t="shared" si="0"/>
        <v>7</v>
      </c>
      <c r="I7" s="74">
        <v>100</v>
      </c>
      <c r="J7" s="74">
        <v>100</v>
      </c>
      <c r="K7" s="74">
        <v>100</v>
      </c>
    </row>
    <row r="8" spans="1:11" s="52" customFormat="1" x14ac:dyDescent="0.2">
      <c r="A8" s="24" t="s">
        <v>59</v>
      </c>
      <c r="B8" s="75">
        <v>5</v>
      </c>
      <c r="C8" s="75">
        <v>3.5</v>
      </c>
      <c r="D8" s="75">
        <v>4</v>
      </c>
      <c r="E8" s="75">
        <v>5</v>
      </c>
      <c r="F8" s="75"/>
      <c r="G8" s="75"/>
      <c r="H8" s="72">
        <f t="shared" si="0"/>
        <v>9</v>
      </c>
      <c r="I8" s="74">
        <v>100</v>
      </c>
      <c r="J8" s="74">
        <v>100</v>
      </c>
      <c r="K8" s="74">
        <v>100</v>
      </c>
    </row>
    <row r="9" spans="1:11" s="52" customFormat="1" x14ac:dyDescent="0.2">
      <c r="A9" s="24" t="s">
        <v>60</v>
      </c>
      <c r="B9" s="75"/>
      <c r="C9" s="75"/>
      <c r="D9" s="75">
        <v>5</v>
      </c>
      <c r="E9" s="75">
        <v>6.5</v>
      </c>
      <c r="F9" s="75"/>
      <c r="G9" s="75"/>
      <c r="H9" s="72">
        <f t="shared" si="0"/>
        <v>5</v>
      </c>
      <c r="I9" s="74">
        <v>100</v>
      </c>
      <c r="J9" s="74">
        <v>100</v>
      </c>
      <c r="K9" s="74">
        <v>100</v>
      </c>
    </row>
    <row r="10" spans="1:11" s="52" customFormat="1" x14ac:dyDescent="0.2">
      <c r="A10" s="29" t="s">
        <v>54</v>
      </c>
      <c r="B10" s="71"/>
      <c r="C10" s="71"/>
      <c r="D10" s="71">
        <v>2</v>
      </c>
      <c r="E10" s="71">
        <v>2</v>
      </c>
      <c r="F10" s="71">
        <v>4</v>
      </c>
      <c r="G10" s="71">
        <v>5.5</v>
      </c>
      <c r="H10" s="72">
        <f t="shared" si="0"/>
        <v>6</v>
      </c>
      <c r="I10" s="74">
        <v>100</v>
      </c>
      <c r="J10" s="74">
        <v>100</v>
      </c>
      <c r="K10" s="74">
        <v>100</v>
      </c>
    </row>
    <row r="11" spans="1:11" s="52" customFormat="1" x14ac:dyDescent="0.2">
      <c r="A11" s="121" t="s">
        <v>55</v>
      </c>
      <c r="B11" s="75"/>
      <c r="C11" s="75"/>
      <c r="D11" s="75">
        <v>3</v>
      </c>
      <c r="E11" s="75">
        <v>4</v>
      </c>
      <c r="F11" s="75"/>
      <c r="G11" s="75"/>
      <c r="H11" s="72">
        <f t="shared" si="0"/>
        <v>3</v>
      </c>
      <c r="I11" s="74">
        <v>100</v>
      </c>
      <c r="J11" s="74">
        <v>100</v>
      </c>
      <c r="K11" s="74">
        <v>100</v>
      </c>
    </row>
    <row r="12" spans="1:11" x14ac:dyDescent="0.2">
      <c r="A12" s="122"/>
      <c r="B12" s="60"/>
      <c r="C12" s="60"/>
      <c r="D12" s="60">
        <v>4</v>
      </c>
      <c r="E12" s="60">
        <v>5.5</v>
      </c>
      <c r="F12" s="60"/>
      <c r="G12" s="60"/>
      <c r="H12" s="60">
        <f t="shared" si="0"/>
        <v>4</v>
      </c>
      <c r="I12" s="74">
        <v>100</v>
      </c>
      <c r="J12" s="74">
        <v>100</v>
      </c>
      <c r="K12" s="74">
        <v>100</v>
      </c>
    </row>
  </sheetData>
  <mergeCells count="3">
    <mergeCell ref="B3:F3"/>
    <mergeCell ref="I3:K3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BẢNG GIỜ LÀM VIỆC HC</vt:lpstr>
      <vt:lpstr>HC</vt:lpstr>
      <vt:lpstr>BẢNG TÍNH GIỜ LÀM VIỆC KTCN</vt:lpstr>
      <vt:lpstr>KTCN.</vt:lpstr>
      <vt:lpstr>TTS.</vt:lpstr>
      <vt:lpstr>BẢNG TÍNH GIỜ LÀM VIỆC TTS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thảo phan</cp:lastModifiedBy>
  <dcterms:created xsi:type="dcterms:W3CDTF">2024-08-16T07:08:24Z</dcterms:created>
  <dcterms:modified xsi:type="dcterms:W3CDTF">2024-11-06T07:14:37Z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2024-10-11T01:09:02Z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6b97ac95-f6cf-439d-8f41-39ab78610c8c</vt:lpwstr>
  </property>
  <property fmtid="{D5CDD505-2E9C-101B-9397-08002B2CF9AE}" pid="7" name="MSIP_Label_defa4170-0d19-0005-0004-bc88714345d2_ActionId">
    <vt:lpwstr>15e4ad9b-2c9b-46c3-a6eb-8def36c31249</vt:lpwstr>
  </property>
  <property fmtid="{D5CDD505-2E9C-101B-9397-08002B2CF9AE}" pid="8" name="MSIP_Label_defa4170-0d19-0005-0004-bc88714345d2_ContentBits">
    <vt:lpwstr>0</vt:lpwstr>
  </property>
</Properties>
</file>