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ILA\Documents\Customers\Logos\"/>
    </mc:Choice>
  </mc:AlternateContent>
  <bookViews>
    <workbookView xWindow="0" yWindow="0" windowWidth="23040" windowHeight="10452"/>
  </bookViews>
  <sheets>
    <sheet name="AtoA comparison" sheetId="1" r:id="rId1"/>
    <sheet name="Wage Breakup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2" i="1" l="1"/>
  <c r="H8" i="2"/>
  <c r="C8" i="2"/>
  <c r="G36" i="1" l="1"/>
  <c r="N47" i="1"/>
  <c r="C6" i="2" l="1"/>
  <c r="C7" i="2" s="1"/>
  <c r="M20" i="1"/>
  <c r="C10" i="2" l="1"/>
  <c r="C11" i="2"/>
  <c r="C25" i="2"/>
  <c r="M32" i="1"/>
  <c r="N32" i="1" s="1"/>
  <c r="O32" i="1" s="1"/>
  <c r="M33" i="1"/>
  <c r="O48" i="1"/>
  <c r="M25" i="1" l="1"/>
  <c r="O47" i="1"/>
  <c r="O46" i="1"/>
  <c r="O59" i="1"/>
  <c r="O58" i="1"/>
  <c r="O57" i="1"/>
  <c r="O56" i="1"/>
  <c r="O55" i="1"/>
  <c r="O53" i="1"/>
  <c r="O52" i="1"/>
  <c r="O51" i="1"/>
  <c r="O50" i="1"/>
  <c r="O49" i="1"/>
  <c r="N37" i="1" l="1"/>
  <c r="N28" i="1"/>
  <c r="N15" i="1" l="1"/>
  <c r="O15" i="1" s="1"/>
  <c r="M9" i="1"/>
  <c r="N9" i="1" s="1"/>
  <c r="O9" i="1" s="1"/>
  <c r="M10" i="1"/>
  <c r="N10" i="1" s="1"/>
  <c r="O10" i="1" s="1"/>
  <c r="M15" i="1"/>
  <c r="M14" i="1"/>
  <c r="N14" i="1" s="1"/>
  <c r="O14" i="1" s="1"/>
  <c r="M13" i="1"/>
  <c r="N13" i="1" s="1"/>
  <c r="O13" i="1" s="1"/>
  <c r="M12" i="1"/>
  <c r="M11" i="1"/>
  <c r="N11" i="1" s="1"/>
  <c r="O11" i="1" s="1"/>
  <c r="M8" i="1"/>
  <c r="M7" i="1"/>
  <c r="N7" i="1" s="1"/>
  <c r="O7" i="1" s="1"/>
  <c r="J6" i="2"/>
  <c r="J7" i="2" s="1"/>
  <c r="J8" i="2" s="1"/>
  <c r="I6" i="2"/>
  <c r="I7" i="2" s="1"/>
  <c r="I8" i="2" s="1"/>
  <c r="H6" i="2"/>
  <c r="H7" i="2" s="1"/>
  <c r="G6" i="2"/>
  <c r="G7" i="2" s="1"/>
  <c r="G8" i="2" s="1"/>
  <c r="F6" i="2"/>
  <c r="F7" i="2" s="1"/>
  <c r="F8" i="2" s="1"/>
  <c r="E6" i="2"/>
  <c r="E7" i="2" s="1"/>
  <c r="D6" i="2"/>
  <c r="D7" i="2" s="1"/>
  <c r="H11" i="2" l="1"/>
  <c r="I11" i="2"/>
  <c r="I10" i="2"/>
  <c r="I12" i="2" s="1"/>
  <c r="F11" i="2"/>
  <c r="J11" i="2"/>
  <c r="J10" i="2"/>
  <c r="G11" i="2"/>
  <c r="G10" i="2"/>
  <c r="G12" i="2" s="1"/>
  <c r="D10" i="2"/>
  <c r="D11" i="2"/>
  <c r="E11" i="2"/>
  <c r="F10" i="2"/>
  <c r="F25" i="2"/>
  <c r="D25" i="2"/>
  <c r="H25" i="2"/>
  <c r="H10" i="2"/>
  <c r="E25" i="2"/>
  <c r="E10" i="2"/>
  <c r="I25" i="2"/>
  <c r="J25" i="2"/>
  <c r="G25" i="2"/>
  <c r="I14" i="2" l="1"/>
  <c r="I22" i="2"/>
  <c r="G14" i="2"/>
  <c r="G22" i="2"/>
  <c r="H12" i="2"/>
  <c r="F12" i="2"/>
  <c r="F23" i="2" s="1"/>
  <c r="I23" i="2"/>
  <c r="I15" i="2"/>
  <c r="G23" i="2"/>
  <c r="G15" i="2"/>
  <c r="J12" i="2"/>
  <c r="D12" i="2"/>
  <c r="E12" i="2"/>
  <c r="C12" i="2"/>
  <c r="J14" i="2" l="1"/>
  <c r="J22" i="2"/>
  <c r="H14" i="2"/>
  <c r="H22" i="2"/>
  <c r="H15" i="2"/>
  <c r="H23" i="2"/>
  <c r="F15" i="2"/>
  <c r="F14" i="2"/>
  <c r="F18" i="2" s="1"/>
  <c r="F20" i="2" s="1"/>
  <c r="F22" i="2"/>
  <c r="F28" i="2" s="1"/>
  <c r="F29" i="2" s="1"/>
  <c r="G27" i="1" s="1"/>
  <c r="E22" i="2"/>
  <c r="E14" i="2"/>
  <c r="D22" i="2"/>
  <c r="D14" i="2"/>
  <c r="C22" i="2"/>
  <c r="C14" i="2"/>
  <c r="G18" i="2"/>
  <c r="G20" i="2" s="1"/>
  <c r="G28" i="2"/>
  <c r="G29" i="2" s="1"/>
  <c r="G24" i="1" s="1"/>
  <c r="I28" i="2"/>
  <c r="I29" i="2" s="1"/>
  <c r="G31" i="1" s="1"/>
  <c r="I18" i="2"/>
  <c r="I20" i="2" s="1"/>
  <c r="E23" i="2"/>
  <c r="E15" i="2"/>
  <c r="C23" i="2"/>
  <c r="C15" i="2"/>
  <c r="D23" i="2"/>
  <c r="D15" i="2"/>
  <c r="J23" i="2"/>
  <c r="J15" i="2"/>
  <c r="H28" i="2" l="1"/>
  <c r="H29" i="2" s="1"/>
  <c r="G30" i="1" s="1"/>
  <c r="H18" i="2"/>
  <c r="H20" i="2" s="1"/>
  <c r="J18" i="2"/>
  <c r="J20" i="2" s="1"/>
  <c r="E28" i="2"/>
  <c r="E29" i="2" s="1"/>
  <c r="G25" i="1" s="1"/>
  <c r="N25" i="1" s="1"/>
  <c r="O25" i="1" s="1"/>
  <c r="C18" i="2"/>
  <c r="C20" i="2" s="1"/>
  <c r="C28" i="2"/>
  <c r="C29" i="2" s="1"/>
  <c r="G20" i="1" s="1"/>
  <c r="D18" i="2"/>
  <c r="D20" i="2" s="1"/>
  <c r="J28" i="2"/>
  <c r="J29" i="2" s="1"/>
  <c r="G34" i="1" s="1"/>
  <c r="D28" i="2"/>
  <c r="D29" i="2" s="1"/>
  <c r="G21" i="1" s="1"/>
  <c r="E18" i="2"/>
  <c r="E20" i="2" s="1"/>
  <c r="G8" i="1" l="1"/>
  <c r="N8" i="1" s="1"/>
  <c r="O8" i="1" s="1"/>
  <c r="G33" i="1"/>
  <c r="N33" i="1" s="1"/>
  <c r="O33" i="1" s="1"/>
  <c r="G35" i="1"/>
  <c r="M23" i="1"/>
  <c r="N23" i="1" s="1"/>
  <c r="O23" i="1" s="1"/>
  <c r="M36" i="1"/>
  <c r="O45" i="1"/>
  <c r="O44" i="1"/>
  <c r="M41" i="1"/>
  <c r="M40" i="1"/>
  <c r="M39" i="1"/>
  <c r="M38" i="1"/>
  <c r="M35" i="1"/>
  <c r="M34" i="1"/>
  <c r="N34" i="1" s="1"/>
  <c r="M31" i="1"/>
  <c r="N31" i="1" s="1"/>
  <c r="M30" i="1"/>
  <c r="N30" i="1" s="1"/>
  <c r="M29" i="1"/>
  <c r="N29" i="1" s="1"/>
  <c r="M27" i="1"/>
  <c r="M26" i="1"/>
  <c r="M24" i="1"/>
  <c r="N24" i="1" s="1"/>
  <c r="O24" i="1" s="1"/>
  <c r="M22" i="1"/>
  <c r="N22" i="1" s="1"/>
  <c r="O22" i="1" s="1"/>
  <c r="M21" i="1"/>
  <c r="N21" i="1" s="1"/>
  <c r="O21" i="1" s="1"/>
  <c r="N20" i="1"/>
  <c r="O16" i="1"/>
  <c r="N12" i="1"/>
  <c r="O12" i="1" s="1"/>
  <c r="M6" i="1"/>
  <c r="N35" i="1" l="1"/>
  <c r="O35" i="1" s="1"/>
  <c r="N26" i="1"/>
  <c r="O26" i="1" s="1"/>
  <c r="N40" i="1"/>
  <c r="O40" i="1" s="1"/>
  <c r="N41" i="1"/>
  <c r="O41" i="1" s="1"/>
  <c r="N27" i="1"/>
  <c r="O27" i="1" s="1"/>
  <c r="N38" i="1"/>
  <c r="O38" i="1" s="1"/>
  <c r="N39" i="1"/>
  <c r="O39" i="1" s="1"/>
  <c r="N36" i="1"/>
  <c r="O36" i="1" s="1"/>
  <c r="O29" i="1"/>
  <c r="O34" i="1"/>
  <c r="O30" i="1"/>
  <c r="M17" i="1"/>
  <c r="N6" i="1"/>
  <c r="N17" i="1" s="1"/>
  <c r="O31" i="1"/>
  <c r="O20" i="1"/>
  <c r="M42" i="1"/>
  <c r="O54" i="1" l="1"/>
  <c r="O60" i="1" s="1"/>
  <c r="N60" i="1"/>
  <c r="O6" i="1"/>
  <c r="O17" i="1" s="1"/>
  <c r="N42" i="1"/>
  <c r="O42" i="1"/>
  <c r="O62" i="1" l="1"/>
  <c r="N64" i="1" l="1"/>
  <c r="O64" i="1" s="1"/>
</calcChain>
</file>

<file path=xl/sharedStrings.xml><?xml version="1.0" encoding="utf-8"?>
<sst xmlns="http://schemas.openxmlformats.org/spreadsheetml/2006/main" count="173" uniqueCount="141">
  <si>
    <t>S.No</t>
  </si>
  <si>
    <t>Descriptions</t>
  </si>
  <si>
    <t>Unit Rate per Month</t>
  </si>
  <si>
    <t>Shift I</t>
  </si>
  <si>
    <t>Shift II</t>
  </si>
  <si>
    <t>Shift III</t>
  </si>
  <si>
    <t>General Shift</t>
  </si>
  <si>
    <t>Reliever</t>
  </si>
  <si>
    <t>Resource Level</t>
  </si>
  <si>
    <t>Monthly Charges</t>
  </si>
  <si>
    <t>Annual Charges</t>
  </si>
  <si>
    <t>Remarks</t>
  </si>
  <si>
    <t>A</t>
  </si>
  <si>
    <t>Assistant Property Manager - Technical</t>
  </si>
  <si>
    <t>Property Manager</t>
  </si>
  <si>
    <t>Technical Executive / Shift Engineer</t>
  </si>
  <si>
    <t>Technical Manager</t>
  </si>
  <si>
    <t>Facility Executive - Tech</t>
  </si>
  <si>
    <t>Accounts / MIS Executive / Facility Executive</t>
  </si>
  <si>
    <t>8 * 6Days</t>
  </si>
  <si>
    <t>Shift Engineers</t>
  </si>
  <si>
    <t>MIS Executive</t>
  </si>
  <si>
    <t>EHS  cum Facility Executive</t>
  </si>
  <si>
    <t>Over Heads</t>
  </si>
  <si>
    <t>Sub Total (A)</t>
  </si>
  <si>
    <t>B</t>
  </si>
  <si>
    <t>Housekeeping</t>
  </si>
  <si>
    <t>i</t>
  </si>
  <si>
    <t>HK Supervisor</t>
  </si>
  <si>
    <t>ii</t>
  </si>
  <si>
    <t>HK Male</t>
  </si>
  <si>
    <t>iii</t>
  </si>
  <si>
    <t>HK Sweeper Machine Operator</t>
  </si>
  <si>
    <t>iv</t>
  </si>
  <si>
    <t>HK Maids</t>
  </si>
  <si>
    <t>v</t>
  </si>
  <si>
    <t>vi</t>
  </si>
  <si>
    <t>Pantry Boy</t>
  </si>
  <si>
    <t>vii</t>
  </si>
  <si>
    <t>OWC Operator</t>
  </si>
  <si>
    <t>viii</t>
  </si>
  <si>
    <t>Gardner Supervisor</t>
  </si>
  <si>
    <t>Technical Services</t>
  </si>
  <si>
    <t>MST</t>
  </si>
  <si>
    <t>MST / Electrician</t>
  </si>
  <si>
    <t>STP / WTP Operator (OEM) /Plumber</t>
  </si>
  <si>
    <t>Fire Technician</t>
  </si>
  <si>
    <t>Plumber</t>
  </si>
  <si>
    <t>E&amp;M Helper</t>
  </si>
  <si>
    <t>Security Services</t>
  </si>
  <si>
    <t>Security Supervisor</t>
  </si>
  <si>
    <t>CCTV Operator</t>
  </si>
  <si>
    <t>Security Guards</t>
  </si>
  <si>
    <t>SUB TOTAL (B)</t>
  </si>
  <si>
    <t>C</t>
  </si>
  <si>
    <t>Other Services</t>
  </si>
  <si>
    <t>Pest Control Services</t>
  </si>
  <si>
    <t>M&amp;E Tools &amp; Tackles</t>
  </si>
  <si>
    <t>Housekeeping Equipments</t>
  </si>
  <si>
    <t>Gardening Consumables &amp; Chemicals</t>
  </si>
  <si>
    <t>Gardening Tools &amp; Equipments</t>
  </si>
  <si>
    <t>Security Tools</t>
  </si>
  <si>
    <t>Property Management Office Expense</t>
  </si>
  <si>
    <t>Property Management software including visitor management</t>
  </si>
  <si>
    <t>Communication charges</t>
  </si>
  <si>
    <t>Visitor Management system software &amp; Tab</t>
  </si>
  <si>
    <t>PPE</t>
  </si>
  <si>
    <t>Office Infrastructure</t>
  </si>
  <si>
    <t>AMC / R&amp;M / Statutory</t>
  </si>
  <si>
    <t>Electricity</t>
  </si>
  <si>
    <t>SUBTOTAL (C)</t>
  </si>
  <si>
    <t>D</t>
  </si>
  <si>
    <t>Management fees</t>
  </si>
  <si>
    <t>E</t>
  </si>
  <si>
    <t>Grand Total</t>
  </si>
  <si>
    <t>STP Operations (130 KLD)</t>
  </si>
  <si>
    <t>Walkie talkie etc.</t>
  </si>
  <si>
    <t xml:space="preserve">Housekeeping Consumables </t>
  </si>
  <si>
    <t>SILA</t>
  </si>
  <si>
    <t>As Per Min Wage Schedule - Gurgaon (01.07.2020)</t>
  </si>
  <si>
    <t>PARTICULARS</t>
  </si>
  <si>
    <t>HK Staff</t>
  </si>
  <si>
    <t>Horticulture Supervisor</t>
  </si>
  <si>
    <t>Gardener</t>
  </si>
  <si>
    <t>(A)</t>
  </si>
  <si>
    <t>Skilled A</t>
  </si>
  <si>
    <t>Unskilled</t>
  </si>
  <si>
    <t>Semi Skilled B</t>
  </si>
  <si>
    <t>Skilled B</t>
  </si>
  <si>
    <t>Basic</t>
  </si>
  <si>
    <t>D.A.</t>
  </si>
  <si>
    <t>Basic + D.A.</t>
  </si>
  <si>
    <t>HRA</t>
  </si>
  <si>
    <t>Conveyance</t>
  </si>
  <si>
    <t>Total Gross Salary</t>
  </si>
  <si>
    <t>(B)</t>
  </si>
  <si>
    <t>PF Contribution (12% on Gross excluding HRA)</t>
  </si>
  <si>
    <t>ESIC (.75% on total gross)</t>
  </si>
  <si>
    <t>LWF</t>
  </si>
  <si>
    <t>Professional Tax</t>
  </si>
  <si>
    <t>NA</t>
  </si>
  <si>
    <t>Employees deduction</t>
  </si>
  <si>
    <t>Net Salary (A-B)</t>
  </si>
  <si>
    <t>(C)</t>
  </si>
  <si>
    <t>PF Contribution (13% on Gross excluding HRA)</t>
  </si>
  <si>
    <t>ESIC (3.25%) on Total Gross/Mediclaim</t>
  </si>
  <si>
    <t xml:space="preserve">Ex-Gratia (8.33%) on Basic + DA </t>
  </si>
  <si>
    <t>Leave Salary (8.77%)</t>
  </si>
  <si>
    <t>Gratuity</t>
  </si>
  <si>
    <t>Admin, Documentation, Background Verification</t>
  </si>
  <si>
    <t>Net Charges to Company</t>
  </si>
  <si>
    <t>Total Cost</t>
  </si>
  <si>
    <t>At actual</t>
  </si>
  <si>
    <t>To be discussed</t>
  </si>
  <si>
    <t>Property Management Team Pricing</t>
  </si>
  <si>
    <t>Armed Guard</t>
  </si>
  <si>
    <t>Included in manpower breakup</t>
  </si>
  <si>
    <t>As per actual; To be Discussed</t>
  </si>
  <si>
    <t>As per actual</t>
  </si>
  <si>
    <t>HK, Technical &amp; Security Services Pricing</t>
  </si>
  <si>
    <t>Terms and Conditions</t>
  </si>
  <si>
    <t>Taxes as applicable</t>
  </si>
  <si>
    <t>Revision in rates will be deemed approved as per the Minimum Wage Notification from the date thereof</t>
  </si>
  <si>
    <t>SILA will provide statutory documentation each month</t>
  </si>
  <si>
    <t>Invoices will sent by the 3rd, verification by client by the 5th and payments to be released by the end of each month</t>
  </si>
  <si>
    <t xml:space="preserve">Uniforms costs are included, however customized uniforms can be provided at actual cost. </t>
  </si>
  <si>
    <t>Work on Statutory Holidays will be billed 3x as per norms - 26th January, 15th August, 2nd October</t>
  </si>
  <si>
    <t>Uniform &amp; PPE</t>
  </si>
  <si>
    <t>Gardeners</t>
  </si>
  <si>
    <t>Security Officer</t>
  </si>
  <si>
    <t>STP AMC</t>
  </si>
  <si>
    <t>Through 3rd party agency</t>
  </si>
  <si>
    <t>Fire Executive</t>
  </si>
  <si>
    <t>9 * 6Days</t>
  </si>
  <si>
    <t>9 * 6Days and reliever charges</t>
  </si>
  <si>
    <t>Budgeted - To be billed as per actual</t>
  </si>
  <si>
    <t>Budgeted annual cost - To be billed as per actual</t>
  </si>
  <si>
    <t>2 Manual Flipper, 1 Wet &amp; Dry Vacuum Cleaner</t>
  </si>
  <si>
    <t xml:space="preserve">Once a month service - General Pest Control &amp; Fogging for Mosquito Control </t>
  </si>
  <si>
    <t>Payment Terms - 30 days from date of invoice</t>
  </si>
  <si>
    <t>Technical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</si>
</sst>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 * #,##0_ ;_ * \-#,##0_ ;_ * &quot;-&quot;_ ;_ @_ "/>
    <numFmt numFmtId="43" formatCode="_ * #,##0.00_ ;_ * \-#,##0.00_ ;_ * &quot;-&quot;??_ ;_ @_ "/>
    <numFmt numFmtId="164" formatCode="_ * #,##0_ ;_ * \-#,##0_ ;_ * &quot;-&quot;??_ ;_ @_ "/>
  </numFmts>
  <fonts count="17" x14ac:knownFonts="1">
    <font>
      <sz val="10"/>
      <name val="Arial"/>
      <family val="2"/>
    </font>
    <font>
      <sz val="10"/>
      <name val="Arial"/>
      <family val="2"/>
    </font>
    <font>
      <b/>
      <sz val="16"/>
      <name val="Times New Roman"/>
      <family val="1"/>
    </font>
    <font>
      <b/>
      <sz val="11"/>
      <name val="Arial"/>
      <family val="2"/>
    </font>
    <font>
      <b/>
      <sz val="11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2"/>
      <name val="Calibri"/>
      <family val="2"/>
    </font>
    <font>
      <sz val="11"/>
      <color indexed="8"/>
      <name val="Calibri"/>
      <family val="2"/>
    </font>
    <font>
      <b/>
      <i/>
      <u/>
      <sz val="10"/>
      <name val="Calibri"/>
      <family val="2"/>
      <scheme val="minor"/>
    </font>
    <font>
      <i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</cellStyleXfs>
  <cellXfs count="1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164" fontId="0" fillId="2" borderId="0" xfId="1" applyNumberFormat="1" applyFont="1" applyFill="1" applyBorder="1">
      <alignment vertical="center"/>
    </xf>
    <xf numFmtId="164" fontId="0" fillId="2" borderId="0" xfId="1" applyNumberFormat="1" applyFon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164" fontId="0" fillId="2" borderId="3" xfId="1" applyNumberFormat="1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4" fillId="2" borderId="0" xfId="0" applyFont="1" applyFill="1">
      <alignment vertical="center"/>
    </xf>
    <xf numFmtId="164" fontId="4" fillId="2" borderId="0" xfId="1" applyNumberFormat="1" applyFont="1" applyFill="1" applyBorder="1" applyAlignment="1">
      <alignment vertical="center"/>
    </xf>
    <xf numFmtId="164" fontId="3" fillId="2" borderId="9" xfId="1" applyNumberFormat="1" applyFont="1" applyFill="1" applyBorder="1">
      <alignment vertical="center"/>
    </xf>
    <xf numFmtId="0" fontId="3" fillId="2" borderId="0" xfId="0" applyFont="1" applyFill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64" fontId="3" fillId="2" borderId="9" xfId="1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4" xfId="0" applyFill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164" fontId="7" fillId="3" borderId="0" xfId="1" applyNumberFormat="1" applyFont="1" applyFill="1" applyBorder="1">
      <alignment vertical="center"/>
    </xf>
    <xf numFmtId="164" fontId="7" fillId="3" borderId="0" xfId="1" applyNumberFormat="1" applyFont="1" applyFill="1" applyBorder="1" applyAlignment="1">
      <alignment vertical="center" wrapText="1"/>
    </xf>
    <xf numFmtId="164" fontId="0" fillId="2" borderId="9" xfId="1" applyNumberFormat="1" applyFont="1" applyFill="1" applyBorder="1">
      <alignment vertical="center"/>
    </xf>
    <xf numFmtId="0" fontId="7" fillId="0" borderId="6" xfId="0" applyFont="1" applyBorder="1">
      <alignment vertical="center"/>
    </xf>
    <xf numFmtId="0" fontId="7" fillId="0" borderId="8" xfId="0" applyFont="1" applyBorder="1" applyAlignment="1">
      <alignment vertical="center" wrapText="1"/>
    </xf>
    <xf numFmtId="164" fontId="7" fillId="3" borderId="6" xfId="1" applyNumberFormat="1" applyFont="1" applyFill="1" applyBorder="1">
      <alignment vertical="center"/>
    </xf>
    <xf numFmtId="164" fontId="7" fillId="3" borderId="13" xfId="1" applyNumberFormat="1" applyFont="1" applyFill="1" applyBorder="1">
      <alignment vertical="center"/>
    </xf>
    <xf numFmtId="164" fontId="7" fillId="3" borderId="7" xfId="1" applyNumberFormat="1" applyFont="1" applyFill="1" applyBorder="1">
      <alignment vertical="center"/>
    </xf>
    <xf numFmtId="0" fontId="7" fillId="0" borderId="15" xfId="0" applyFont="1" applyBorder="1">
      <alignment vertical="center"/>
    </xf>
    <xf numFmtId="0" fontId="7" fillId="0" borderId="14" xfId="0" applyFont="1" applyBorder="1" applyAlignment="1">
      <alignment vertical="center" wrapText="1"/>
    </xf>
    <xf numFmtId="164" fontId="7" fillId="3" borderId="15" xfId="1" applyNumberFormat="1" applyFont="1" applyFill="1" applyBorder="1">
      <alignment vertical="center"/>
    </xf>
    <xf numFmtId="164" fontId="7" fillId="3" borderId="16" xfId="1" applyNumberFormat="1" applyFont="1" applyFill="1" applyBorder="1">
      <alignment vertical="center"/>
    </xf>
    <xf numFmtId="164" fontId="7" fillId="3" borderId="5" xfId="1" applyNumberFormat="1" applyFont="1" applyFill="1" applyBorder="1">
      <alignment vertical="center"/>
    </xf>
    <xf numFmtId="164" fontId="7" fillId="3" borderId="14" xfId="1" applyNumberFormat="1" applyFont="1" applyFill="1" applyBorder="1" applyAlignment="1">
      <alignment vertical="center" wrapText="1"/>
    </xf>
    <xf numFmtId="0" fontId="8" fillId="2" borderId="4" xfId="0" applyFont="1" applyFill="1" applyBorder="1">
      <alignment vertical="center"/>
    </xf>
    <xf numFmtId="0" fontId="9" fillId="0" borderId="10" xfId="0" applyFont="1" applyBorder="1">
      <alignment vertical="center"/>
    </xf>
    <xf numFmtId="0" fontId="9" fillId="0" borderId="12" xfId="0" applyFont="1" applyBorder="1" applyAlignment="1">
      <alignment vertical="center" wrapText="1"/>
    </xf>
    <xf numFmtId="164" fontId="9" fillId="3" borderId="10" xfId="1" applyNumberFormat="1" applyFont="1" applyFill="1" applyBorder="1">
      <alignment vertical="center"/>
    </xf>
    <xf numFmtId="164" fontId="9" fillId="3" borderId="17" xfId="1" applyNumberFormat="1" applyFont="1" applyFill="1" applyBorder="1">
      <alignment vertical="center"/>
    </xf>
    <xf numFmtId="164" fontId="9" fillId="3" borderId="11" xfId="1" applyNumberFormat="1" applyFont="1" applyFill="1" applyBorder="1">
      <alignment vertical="center"/>
    </xf>
    <xf numFmtId="164" fontId="9" fillId="3" borderId="12" xfId="1" applyNumberFormat="1" applyFont="1" applyFill="1" applyBorder="1" applyAlignment="1">
      <alignment vertical="center" wrapText="1"/>
    </xf>
    <xf numFmtId="164" fontId="8" fillId="2" borderId="9" xfId="1" applyNumberFormat="1" applyFont="1" applyFill="1" applyBorder="1">
      <alignment vertical="center"/>
    </xf>
    <xf numFmtId="0" fontId="8" fillId="2" borderId="0" xfId="0" applyFont="1" applyFill="1">
      <alignment vertical="center"/>
    </xf>
    <xf numFmtId="0" fontId="9" fillId="0" borderId="8" xfId="0" applyFont="1" applyBorder="1" applyAlignment="1">
      <alignment vertical="center" wrapText="1"/>
    </xf>
    <xf numFmtId="164" fontId="7" fillId="3" borderId="8" xfId="1" applyNumberFormat="1" applyFont="1" applyFill="1" applyBorder="1" applyAlignment="1">
      <alignment vertical="center" wrapText="1"/>
    </xf>
    <xf numFmtId="0" fontId="7" fillId="0" borderId="15" xfId="0" applyFont="1" applyBorder="1" applyAlignment="1">
      <alignment horizontal="right" vertical="center"/>
    </xf>
    <xf numFmtId="0" fontId="9" fillId="0" borderId="14" xfId="0" applyFont="1" applyBorder="1" applyAlignment="1">
      <alignment vertical="center" wrapText="1"/>
    </xf>
    <xf numFmtId="0" fontId="9" fillId="0" borderId="10" xfId="0" applyFont="1" applyBorder="1" applyAlignment="1">
      <alignment horizontal="right"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6" fillId="0" borderId="18" xfId="0" applyFont="1" applyBorder="1">
      <alignment vertical="center"/>
    </xf>
    <xf numFmtId="0" fontId="6" fillId="0" borderId="19" xfId="0" applyFont="1" applyBorder="1" applyAlignment="1">
      <alignment vertical="center" wrapText="1"/>
    </xf>
    <xf numFmtId="164" fontId="9" fillId="3" borderId="20" xfId="1" applyNumberFormat="1" applyFont="1" applyFill="1" applyBorder="1">
      <alignment vertical="center"/>
    </xf>
    <xf numFmtId="164" fontId="9" fillId="3" borderId="21" xfId="1" applyNumberFormat="1" applyFont="1" applyFill="1" applyBorder="1">
      <alignment vertical="center"/>
    </xf>
    <xf numFmtId="164" fontId="9" fillId="3" borderId="22" xfId="1" applyNumberFormat="1" applyFont="1" applyFill="1" applyBorder="1" applyAlignment="1">
      <alignment vertical="center" wrapText="1"/>
    </xf>
    <xf numFmtId="0" fontId="6" fillId="0" borderId="23" xfId="0" applyFont="1" applyBorder="1">
      <alignment vertical="center"/>
    </xf>
    <xf numFmtId="0" fontId="6" fillId="0" borderId="23" xfId="0" applyFont="1" applyBorder="1" applyAlignment="1">
      <alignment vertical="center" wrapText="1"/>
    </xf>
    <xf numFmtId="164" fontId="9" fillId="3" borderId="23" xfId="1" applyNumberFormat="1" applyFont="1" applyFill="1" applyBorder="1">
      <alignment vertical="center"/>
    </xf>
    <xf numFmtId="164" fontId="9" fillId="3" borderId="23" xfId="1" applyNumberFormat="1" applyFont="1" applyFill="1" applyBorder="1" applyAlignment="1">
      <alignment vertical="center" wrapText="1"/>
    </xf>
    <xf numFmtId="0" fontId="0" fillId="2" borderId="24" xfId="0" applyFill="1" applyBorder="1">
      <alignment vertical="center"/>
    </xf>
    <xf numFmtId="0" fontId="7" fillId="2" borderId="23" xfId="0" applyFont="1" applyFill="1" applyBorder="1">
      <alignment vertical="center"/>
    </xf>
    <xf numFmtId="0" fontId="7" fillId="2" borderId="23" xfId="0" applyFont="1" applyFill="1" applyBorder="1" applyAlignment="1">
      <alignment vertical="center" wrapText="1"/>
    </xf>
    <xf numFmtId="0" fontId="4" fillId="2" borderId="23" xfId="0" applyFont="1" applyFill="1" applyBorder="1">
      <alignment vertical="center"/>
    </xf>
    <xf numFmtId="164" fontId="7" fillId="2" borderId="23" xfId="1" applyNumberFormat="1" applyFont="1" applyFill="1" applyBorder="1" applyAlignment="1">
      <alignment vertical="center" wrapText="1"/>
    </xf>
    <xf numFmtId="164" fontId="4" fillId="2" borderId="23" xfId="1" applyNumberFormat="1" applyFont="1" applyFill="1" applyBorder="1" applyAlignment="1">
      <alignment vertical="center"/>
    </xf>
    <xf numFmtId="164" fontId="0" fillId="2" borderId="25" xfId="1" applyNumberFormat="1" applyFont="1" applyFill="1" applyBorder="1">
      <alignment vertical="center"/>
    </xf>
    <xf numFmtId="0" fontId="8" fillId="2" borderId="0" xfId="0" applyFont="1" applyFill="1" applyAlignment="1">
      <alignment vertical="center" wrapText="1"/>
    </xf>
    <xf numFmtId="164" fontId="8" fillId="2" borderId="0" xfId="1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41" fontId="10" fillId="0" borderId="26" xfId="2" applyFont="1" applyBorder="1" applyAlignment="1" applyProtection="1">
      <alignment horizontal="center" vertical="center" wrapText="1"/>
    </xf>
    <xf numFmtId="0" fontId="11" fillId="0" borderId="27" xfId="0" applyFont="1" applyBorder="1" applyAlignment="1">
      <alignment horizontal="center" wrapText="1"/>
    </xf>
    <xf numFmtId="0" fontId="11" fillId="0" borderId="27" xfId="0" applyFont="1" applyBorder="1" applyAlignment="1">
      <alignment wrapText="1"/>
    </xf>
    <xf numFmtId="41" fontId="10" fillId="0" borderId="28" xfId="2" applyFont="1" applyBorder="1" applyAlignment="1" applyProtection="1">
      <alignment horizontal="center" vertical="center" wrapText="1"/>
    </xf>
    <xf numFmtId="41" fontId="10" fillId="0" borderId="29" xfId="2" applyFont="1" applyBorder="1" applyAlignment="1" applyProtection="1">
      <alignment horizontal="center" vertical="center" wrapText="1"/>
    </xf>
    <xf numFmtId="41" fontId="0" fillId="0" borderId="30" xfId="2" applyFont="1" applyBorder="1" applyAlignment="1" applyProtection="1">
      <alignment horizontal="center"/>
    </xf>
    <xf numFmtId="41" fontId="12" fillId="0" borderId="31" xfId="2" applyFont="1" applyBorder="1" applyAlignment="1" applyProtection="1">
      <alignment horizontal="center" vertical="center"/>
    </xf>
    <xf numFmtId="41" fontId="0" fillId="0" borderId="26" xfId="2" applyFont="1" applyBorder="1" applyAlignment="1" applyProtection="1">
      <alignment horizontal="center"/>
    </xf>
    <xf numFmtId="41" fontId="12" fillId="0" borderId="32" xfId="2" applyFont="1" applyBorder="1" applyAlignment="1" applyProtection="1">
      <alignment horizontal="center" vertical="center"/>
    </xf>
    <xf numFmtId="41" fontId="10" fillId="0" borderId="18" xfId="2" applyFont="1" applyBorder="1" applyAlignment="1" applyProtection="1">
      <alignment horizontal="center"/>
    </xf>
    <xf numFmtId="41" fontId="10" fillId="0" borderId="33" xfId="2" applyFont="1" applyBorder="1" applyAlignment="1" applyProtection="1">
      <alignment horizontal="center" vertical="center"/>
    </xf>
    <xf numFmtId="41" fontId="12" fillId="0" borderId="6" xfId="2" applyFont="1" applyBorder="1" applyAlignment="1" applyProtection="1">
      <alignment horizontal="center" vertical="center" wrapText="1"/>
    </xf>
    <xf numFmtId="164" fontId="12" fillId="0" borderId="7" xfId="2" applyNumberFormat="1" applyFont="1" applyBorder="1" applyAlignment="1" applyProtection="1">
      <alignment horizontal="center" vertical="center" wrapText="1"/>
    </xf>
    <xf numFmtId="41" fontId="0" fillId="0" borderId="15" xfId="2" applyFont="1" applyBorder="1" applyAlignment="1" applyProtection="1">
      <alignment horizontal="center"/>
    </xf>
    <xf numFmtId="41" fontId="12" fillId="0" borderId="10" xfId="2" applyFont="1" applyBorder="1" applyAlignment="1" applyProtection="1">
      <alignment horizontal="center"/>
    </xf>
    <xf numFmtId="41" fontId="12" fillId="0" borderId="11" xfId="2" applyFont="1" applyBorder="1" applyAlignment="1" applyProtection="1">
      <alignment horizontal="center" vertical="center"/>
    </xf>
    <xf numFmtId="41" fontId="12" fillId="0" borderId="33" xfId="2" applyFont="1" applyBorder="1" applyAlignment="1" applyProtection="1">
      <alignment horizontal="center" vertical="center"/>
    </xf>
    <xf numFmtId="41" fontId="10" fillId="0" borderId="6" xfId="2" applyFont="1" applyBorder="1" applyAlignment="1" applyProtection="1">
      <alignment horizontal="center"/>
    </xf>
    <xf numFmtId="41" fontId="10" fillId="0" borderId="7" xfId="2" applyFont="1" applyBorder="1" applyAlignment="1" applyProtection="1">
      <alignment horizontal="center" vertical="center"/>
    </xf>
    <xf numFmtId="41" fontId="12" fillId="0" borderId="15" xfId="2" applyFont="1" applyBorder="1" applyAlignment="1" applyProtection="1">
      <alignment horizontal="center"/>
    </xf>
    <xf numFmtId="41" fontId="12" fillId="0" borderId="5" xfId="2" applyFont="1" applyBorder="1" applyAlignment="1" applyProtection="1">
      <alignment horizontal="center" vertical="center"/>
    </xf>
    <xf numFmtId="41" fontId="12" fillId="0" borderId="5" xfId="2" applyFont="1" applyBorder="1" applyAlignment="1" applyProtection="1">
      <alignment horizontal="right" vertical="center"/>
    </xf>
    <xf numFmtId="41" fontId="12" fillId="0" borderId="11" xfId="2" applyFont="1" applyBorder="1" applyAlignment="1" applyProtection="1">
      <alignment horizontal="right" vertical="center"/>
    </xf>
    <xf numFmtId="41" fontId="10" fillId="0" borderId="30" xfId="2" applyFont="1" applyBorder="1" applyAlignment="1" applyProtection="1">
      <alignment horizontal="center"/>
    </xf>
    <xf numFmtId="41" fontId="10" fillId="0" borderId="31" xfId="2" applyFont="1" applyBorder="1" applyAlignment="1" applyProtection="1">
      <alignment horizontal="center" vertical="center"/>
    </xf>
    <xf numFmtId="41" fontId="13" fillId="4" borderId="18" xfId="2" applyFont="1" applyFill="1" applyBorder="1" applyAlignment="1" applyProtection="1">
      <alignment horizontal="center"/>
    </xf>
    <xf numFmtId="41" fontId="13" fillId="4" borderId="33" xfId="2" applyFont="1" applyFill="1" applyBorder="1" applyAlignment="1" applyProtection="1">
      <alignment horizontal="center" vertical="center"/>
    </xf>
    <xf numFmtId="43" fontId="0" fillId="2" borderId="0" xfId="0" applyNumberFormat="1" applyFill="1">
      <alignment vertical="center"/>
    </xf>
    <xf numFmtId="0" fontId="7" fillId="5" borderId="14" xfId="0" applyFont="1" applyFill="1" applyBorder="1" applyAlignment="1">
      <alignment vertical="center" wrapText="1"/>
    </xf>
    <xf numFmtId="164" fontId="4" fillId="3" borderId="5" xfId="1" applyNumberFormat="1" applyFont="1" applyFill="1" applyBorder="1" applyAlignment="1">
      <alignment horizontal="center" vertical="center" wrapText="1"/>
    </xf>
    <xf numFmtId="164" fontId="5" fillId="3" borderId="5" xfId="1" applyNumberFormat="1" applyFont="1" applyFill="1" applyBorder="1" applyAlignment="1">
      <alignment horizontal="center" vertical="center" wrapText="1"/>
    </xf>
    <xf numFmtId="164" fontId="4" fillId="3" borderId="15" xfId="1" applyNumberFormat="1" applyFont="1" applyFill="1" applyBorder="1" applyAlignment="1">
      <alignment horizontal="center" vertical="center" wrapText="1"/>
    </xf>
    <xf numFmtId="164" fontId="4" fillId="3" borderId="14" xfId="1" applyNumberFormat="1" applyFont="1" applyFill="1" applyBorder="1" applyAlignment="1">
      <alignment horizontal="center" vertical="center" wrapText="1"/>
    </xf>
    <xf numFmtId="3" fontId="15" fillId="0" borderId="0" xfId="4" applyNumberFormat="1" applyFont="1" applyFill="1" applyBorder="1" applyAlignment="1">
      <alignment vertical="center"/>
    </xf>
    <xf numFmtId="0" fontId="16" fillId="0" borderId="0" xfId="0" applyFont="1" applyAlignment="1">
      <alignment vertical="center"/>
    </xf>
    <xf numFmtId="9" fontId="9" fillId="3" borderId="21" xfId="3" applyFont="1" applyFill="1" applyBorder="1" applyAlignment="1">
      <alignment vertical="center"/>
    </xf>
    <xf numFmtId="164" fontId="12" fillId="0" borderId="5" xfId="2" applyNumberFormat="1" applyFont="1" applyBorder="1" applyAlignment="1" applyProtection="1">
      <alignment horizontal="center" vertical="center" wrapText="1"/>
    </xf>
    <xf numFmtId="43" fontId="0" fillId="0" borderId="0" xfId="0" applyNumberFormat="1">
      <alignment vertical="center"/>
    </xf>
    <xf numFmtId="164" fontId="4" fillId="3" borderId="6" xfId="1" applyNumberFormat="1" applyFont="1" applyFill="1" applyBorder="1" applyAlignment="1">
      <alignment horizontal="center" vertical="center"/>
    </xf>
    <xf numFmtId="164" fontId="4" fillId="3" borderId="7" xfId="1" applyNumberFormat="1" applyFont="1" applyFill="1" applyBorder="1" applyAlignment="1">
      <alignment horizontal="center" vertical="center"/>
    </xf>
    <xf numFmtId="164" fontId="4" fillId="3" borderId="8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41" fontId="10" fillId="4" borderId="20" xfId="2" applyFont="1" applyFill="1" applyBorder="1" applyAlignment="1" applyProtection="1">
      <alignment horizontal="center" vertical="center" wrapText="1"/>
    </xf>
    <xf numFmtId="41" fontId="10" fillId="4" borderId="21" xfId="2" applyFont="1" applyFill="1" applyBorder="1" applyAlignment="1" applyProtection="1">
      <alignment horizontal="center" vertical="center" wrapText="1"/>
    </xf>
  </cellXfs>
  <cellStyles count="5">
    <cellStyle name="Comma" xfId="1" builtinId="3"/>
    <cellStyle name="Comma [0]" xfId="2" builtinId="6"/>
    <cellStyle name="Normal" xfId="0" builtinId="0"/>
    <cellStyle name="Normal 2 3" xfId="4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79375</xdr:colOff>
      <xdr:row>1</xdr:row>
      <xdr:rowOff>103188</xdr:rowOff>
    </xdr:from>
    <xdr:to>
      <xdr:col>9</xdr:col>
      <xdr:colOff>323707</xdr:colOff>
      <xdr:row>1</xdr:row>
      <xdr:rowOff>889001</xdr:rowOff>
    </xdr:to>
    <xdr:pic>
      <xdr:nvPicPr>
        <xdr:cNvPr id="2" name="Picture 1" descr="D:\MANSI\Work\SIL-SOL-VI\WF\WORD TEMPLATE\G.jp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6063" y="277813"/>
          <a:ext cx="5945188" cy="785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7"/>
  <sheetViews>
    <sheetView tabSelected="1" zoomScale="97" zoomScaleNormal="110" zoomScaleSheetLayoutView="100" workbookViewId="0">
      <pane xSplit="5" ySplit="4" topLeftCell="F64" activePane="bottomRight" state="frozen"/>
      <selection pane="topRight" activeCell="F1" sqref="F1"/>
      <selection pane="bottomLeft" activeCell="A5" sqref="A5"/>
      <selection pane="bottomRight" activeCell="N50" sqref="N50"/>
    </sheetView>
  </sheetViews>
  <sheetFormatPr defaultColWidth="2.44140625" defaultRowHeight="13.2" x14ac:dyDescent="0.25"/>
  <cols>
    <col min="1" max="2" width="2.44140625" style="1"/>
    <col min="3" max="3" width="4.88671875" style="1" bestFit="1" customWidth="1"/>
    <col min="4" max="4" width="47.109375" style="2" bestFit="1" customWidth="1"/>
    <col min="5" max="5" width="2.44140625" style="1"/>
    <col min="6" max="6" width="2.44140625" style="3"/>
    <col min="7" max="7" width="10" style="4" customWidth="1"/>
    <col min="8" max="8" width="6" style="4" customWidth="1"/>
    <col min="9" max="9" width="7.77734375" style="4" bestFit="1" customWidth="1"/>
    <col min="10" max="10" width="6" style="4" customWidth="1"/>
    <col min="11" max="11" width="9" style="4" customWidth="1"/>
    <col min="12" max="12" width="8.44140625" style="4" customWidth="1"/>
    <col min="13" max="13" width="8.109375" style="4" customWidth="1"/>
    <col min="14" max="14" width="11.33203125" style="4" customWidth="1"/>
    <col min="15" max="15" width="12.44140625" style="4" customWidth="1"/>
    <col min="16" max="16" width="58" style="4" bestFit="1" customWidth="1"/>
    <col min="17" max="17" width="2.44140625" style="3"/>
    <col min="18" max="19" width="2.44140625" style="1"/>
    <col min="20" max="20" width="10.21875" style="1" bestFit="1" customWidth="1"/>
    <col min="21" max="23" width="2.44140625" style="1"/>
    <col min="24" max="24" width="8.5546875" style="1" bestFit="1" customWidth="1"/>
    <col min="25" max="16384" width="2.44140625" style="1"/>
  </cols>
  <sheetData>
    <row r="1" spans="2:17" ht="13.8" thickBot="1" x14ac:dyDescent="0.3"/>
    <row r="2" spans="2:17" ht="79.8" customHeight="1" thickBot="1" x14ac:dyDescent="0.3">
      <c r="B2" s="5"/>
      <c r="C2" s="109"/>
      <c r="D2" s="109"/>
      <c r="E2" s="109"/>
      <c r="F2" s="109"/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spans="2:17" s="12" customFormat="1" ht="27" customHeight="1" x14ac:dyDescent="0.25">
      <c r="B3" s="8"/>
      <c r="C3" s="110" t="s">
        <v>0</v>
      </c>
      <c r="D3" s="110" t="s">
        <v>1</v>
      </c>
      <c r="E3" s="9"/>
      <c r="F3" s="10"/>
      <c r="G3" s="106" t="s">
        <v>78</v>
      </c>
      <c r="H3" s="107"/>
      <c r="I3" s="107"/>
      <c r="J3" s="107"/>
      <c r="K3" s="107"/>
      <c r="L3" s="107"/>
      <c r="M3" s="107"/>
      <c r="N3" s="107"/>
      <c r="O3" s="107"/>
      <c r="P3" s="108"/>
      <c r="Q3" s="11"/>
    </row>
    <row r="4" spans="2:17" s="15" customFormat="1" ht="52.95" customHeight="1" x14ac:dyDescent="0.25">
      <c r="B4" s="13"/>
      <c r="C4" s="110"/>
      <c r="D4" s="110"/>
      <c r="E4" s="9"/>
      <c r="F4" s="10"/>
      <c r="G4" s="99" t="s">
        <v>2</v>
      </c>
      <c r="H4" s="97" t="s">
        <v>3</v>
      </c>
      <c r="I4" s="97" t="s">
        <v>4</v>
      </c>
      <c r="J4" s="97" t="s">
        <v>5</v>
      </c>
      <c r="K4" s="97" t="s">
        <v>6</v>
      </c>
      <c r="L4" s="98" t="s">
        <v>7</v>
      </c>
      <c r="M4" s="98" t="s">
        <v>8</v>
      </c>
      <c r="N4" s="97" t="s">
        <v>9</v>
      </c>
      <c r="O4" s="97" t="s">
        <v>10</v>
      </c>
      <c r="P4" s="100" t="s">
        <v>11</v>
      </c>
      <c r="Q4" s="14"/>
    </row>
    <row r="5" spans="2:17" ht="16.2" thickBot="1" x14ac:dyDescent="0.3">
      <c r="B5" s="16"/>
      <c r="C5" s="17" t="s">
        <v>12</v>
      </c>
      <c r="D5" s="18" t="s">
        <v>114</v>
      </c>
      <c r="E5" s="9"/>
      <c r="F5" s="10"/>
      <c r="G5" s="29"/>
      <c r="H5" s="31"/>
      <c r="I5" s="31"/>
      <c r="J5" s="31"/>
      <c r="K5" s="31"/>
      <c r="L5" s="31"/>
      <c r="M5" s="31"/>
      <c r="N5" s="31"/>
      <c r="O5" s="31"/>
      <c r="P5" s="32"/>
      <c r="Q5" s="21"/>
    </row>
    <row r="6" spans="2:17" ht="13.8" x14ac:dyDescent="0.25">
      <c r="B6" s="16"/>
      <c r="C6" s="22">
        <v>1</v>
      </c>
      <c r="D6" s="23" t="s">
        <v>13</v>
      </c>
      <c r="E6" s="9"/>
      <c r="F6" s="10"/>
      <c r="G6" s="29">
        <v>45000</v>
      </c>
      <c r="H6" s="31"/>
      <c r="I6" s="31"/>
      <c r="J6" s="31"/>
      <c r="K6" s="31"/>
      <c r="L6" s="31"/>
      <c r="M6" s="31">
        <f>SUM(H6:L6)</f>
        <v>0</v>
      </c>
      <c r="N6" s="31">
        <f>M6*G6</f>
        <v>0</v>
      </c>
      <c r="O6" s="31">
        <f>N6*12</f>
        <v>0</v>
      </c>
      <c r="P6" s="32"/>
      <c r="Q6" s="21"/>
    </row>
    <row r="7" spans="2:17" ht="13.8" x14ac:dyDescent="0.25">
      <c r="B7" s="16"/>
      <c r="C7" s="27">
        <v>2</v>
      </c>
      <c r="D7" s="28" t="s">
        <v>14</v>
      </c>
      <c r="E7" s="9"/>
      <c r="F7" s="10"/>
      <c r="G7" s="29">
        <v>90000</v>
      </c>
      <c r="H7" s="31"/>
      <c r="I7" s="31"/>
      <c r="J7" s="31"/>
      <c r="K7" s="31"/>
      <c r="L7" s="31"/>
      <c r="M7" s="31">
        <f t="shared" ref="M7:M15" si="0">SUM(H7:L7)</f>
        <v>0</v>
      </c>
      <c r="N7" s="31">
        <f t="shared" ref="N7:N11" si="1">M7*G7</f>
        <v>0</v>
      </c>
      <c r="O7" s="31">
        <f t="shared" ref="O7:O11" si="2">N7*12</f>
        <v>0</v>
      </c>
      <c r="P7" s="32"/>
      <c r="Q7" s="21"/>
    </row>
    <row r="8" spans="2:17" ht="13.8" x14ac:dyDescent="0.25">
      <c r="B8" s="16"/>
      <c r="C8" s="27">
        <v>3</v>
      </c>
      <c r="D8" s="28" t="s">
        <v>15</v>
      </c>
      <c r="E8" s="9"/>
      <c r="F8" s="10"/>
      <c r="G8" s="29">
        <f>'Wage Breakup'!H29</f>
        <v>21000</v>
      </c>
      <c r="H8" s="31"/>
      <c r="I8" s="31"/>
      <c r="J8" s="31"/>
      <c r="K8" s="31"/>
      <c r="L8" s="31"/>
      <c r="M8" s="31">
        <f t="shared" si="0"/>
        <v>0</v>
      </c>
      <c r="N8" s="31">
        <f t="shared" si="1"/>
        <v>0</v>
      </c>
      <c r="O8" s="31">
        <f t="shared" si="2"/>
        <v>0</v>
      </c>
      <c r="P8" s="32"/>
      <c r="Q8" s="21"/>
    </row>
    <row r="9" spans="2:17" ht="13.8" x14ac:dyDescent="0.25">
      <c r="B9" s="16"/>
      <c r="C9" s="27">
        <v>4</v>
      </c>
      <c r="D9" s="28" t="s">
        <v>16</v>
      </c>
      <c r="E9" s="9"/>
      <c r="F9" s="10"/>
      <c r="G9" s="29"/>
      <c r="H9" s="31"/>
      <c r="I9" s="31"/>
      <c r="J9" s="31"/>
      <c r="K9" s="31"/>
      <c r="L9" s="31"/>
      <c r="M9" s="31">
        <f t="shared" si="0"/>
        <v>0</v>
      </c>
      <c r="N9" s="31">
        <f t="shared" si="1"/>
        <v>0</v>
      </c>
      <c r="O9" s="31">
        <f t="shared" si="2"/>
        <v>0</v>
      </c>
      <c r="P9" s="32"/>
      <c r="Q9" s="21"/>
    </row>
    <row r="10" spans="2:17" ht="13.8" x14ac:dyDescent="0.25">
      <c r="B10" s="16"/>
      <c r="C10" s="27">
        <v>5</v>
      </c>
      <c r="D10" s="28" t="s">
        <v>17</v>
      </c>
      <c r="E10" s="9"/>
      <c r="F10" s="10"/>
      <c r="G10" s="29"/>
      <c r="H10" s="31"/>
      <c r="I10" s="31"/>
      <c r="J10" s="31"/>
      <c r="K10" s="31"/>
      <c r="L10" s="31"/>
      <c r="M10" s="31">
        <f t="shared" si="0"/>
        <v>0</v>
      </c>
      <c r="N10" s="31">
        <f t="shared" si="1"/>
        <v>0</v>
      </c>
      <c r="O10" s="31">
        <f t="shared" si="2"/>
        <v>0</v>
      </c>
      <c r="P10" s="32"/>
      <c r="Q10" s="21"/>
    </row>
    <row r="11" spans="2:17" ht="13.8" x14ac:dyDescent="0.25">
      <c r="B11" s="16"/>
      <c r="C11" s="27">
        <v>6</v>
      </c>
      <c r="D11" s="28" t="s">
        <v>129</v>
      </c>
      <c r="E11" s="9"/>
      <c r="F11" s="10"/>
      <c r="G11" s="29">
        <v>35000</v>
      </c>
      <c r="H11" s="31"/>
      <c r="I11" s="31"/>
      <c r="J11" s="31"/>
      <c r="K11" s="31"/>
      <c r="L11" s="31"/>
      <c r="M11" s="31">
        <f t="shared" si="0"/>
        <v>0</v>
      </c>
      <c r="N11" s="31">
        <f t="shared" si="1"/>
        <v>0</v>
      </c>
      <c r="O11" s="31">
        <f t="shared" si="2"/>
        <v>0</v>
      </c>
      <c r="P11" s="32" t="s">
        <v>19</v>
      </c>
      <c r="Q11" s="21"/>
    </row>
    <row r="12" spans="2:17" ht="13.8" x14ac:dyDescent="0.25">
      <c r="B12" s="16"/>
      <c r="C12" s="27">
        <v>7</v>
      </c>
      <c r="D12" s="28" t="s">
        <v>18</v>
      </c>
      <c r="E12" s="9"/>
      <c r="F12" s="10"/>
      <c r="G12" s="29">
        <v>35000</v>
      </c>
      <c r="H12" s="31"/>
      <c r="I12" s="31"/>
      <c r="J12" s="31"/>
      <c r="K12" s="31"/>
      <c r="L12" s="31"/>
      <c r="M12" s="31">
        <f t="shared" si="0"/>
        <v>0</v>
      </c>
      <c r="N12" s="31">
        <f>M12*G12</f>
        <v>0</v>
      </c>
      <c r="O12" s="31">
        <f>N12*12</f>
        <v>0</v>
      </c>
      <c r="P12" s="32"/>
      <c r="Q12" s="21"/>
    </row>
    <row r="13" spans="2:17" ht="13.8" x14ac:dyDescent="0.25">
      <c r="B13" s="16"/>
      <c r="C13" s="27">
        <v>8</v>
      </c>
      <c r="D13" s="28" t="s">
        <v>20</v>
      </c>
      <c r="E13" s="9"/>
      <c r="F13" s="10"/>
      <c r="G13" s="29"/>
      <c r="H13" s="31"/>
      <c r="I13" s="31"/>
      <c r="J13" s="31"/>
      <c r="K13" s="31"/>
      <c r="L13" s="31"/>
      <c r="M13" s="31">
        <f t="shared" si="0"/>
        <v>0</v>
      </c>
      <c r="N13" s="31">
        <f t="shared" ref="N13:N15" si="3">M13*G13</f>
        <v>0</v>
      </c>
      <c r="O13" s="31">
        <f t="shared" ref="O13:O15" si="4">N13*12</f>
        <v>0</v>
      </c>
      <c r="P13" s="32"/>
      <c r="Q13" s="21"/>
    </row>
    <row r="14" spans="2:17" ht="13.8" x14ac:dyDescent="0.25">
      <c r="B14" s="16"/>
      <c r="C14" s="27">
        <v>9</v>
      </c>
      <c r="D14" s="28" t="s">
        <v>21</v>
      </c>
      <c r="E14" s="9"/>
      <c r="F14" s="10"/>
      <c r="G14" s="29"/>
      <c r="H14" s="31"/>
      <c r="I14" s="31"/>
      <c r="J14" s="31"/>
      <c r="K14" s="31"/>
      <c r="L14" s="31"/>
      <c r="M14" s="31">
        <f t="shared" si="0"/>
        <v>0</v>
      </c>
      <c r="N14" s="31">
        <f t="shared" si="3"/>
        <v>0</v>
      </c>
      <c r="O14" s="31">
        <f t="shared" si="4"/>
        <v>0</v>
      </c>
      <c r="P14" s="32"/>
      <c r="Q14" s="21"/>
    </row>
    <row r="15" spans="2:17" ht="13.8" x14ac:dyDescent="0.25">
      <c r="B15" s="16"/>
      <c r="C15" s="27">
        <v>10</v>
      </c>
      <c r="D15" s="28" t="s">
        <v>22</v>
      </c>
      <c r="E15" s="9"/>
      <c r="F15" s="10"/>
      <c r="G15" s="29"/>
      <c r="H15" s="31"/>
      <c r="I15" s="31"/>
      <c r="J15" s="31"/>
      <c r="K15" s="31"/>
      <c r="L15" s="31"/>
      <c r="M15" s="31">
        <f t="shared" si="0"/>
        <v>0</v>
      </c>
      <c r="N15" s="31">
        <f t="shared" si="3"/>
        <v>0</v>
      </c>
      <c r="O15" s="31">
        <f t="shared" si="4"/>
        <v>0</v>
      </c>
      <c r="P15" s="32"/>
      <c r="Q15" s="21"/>
    </row>
    <row r="16" spans="2:17" ht="13.8" x14ac:dyDescent="0.25">
      <c r="B16" s="16"/>
      <c r="C16" s="27">
        <v>11</v>
      </c>
      <c r="D16" s="28" t="s">
        <v>23</v>
      </c>
      <c r="E16" s="9"/>
      <c r="F16" s="10"/>
      <c r="G16" s="29"/>
      <c r="H16" s="31"/>
      <c r="I16" s="31"/>
      <c r="J16" s="31"/>
      <c r="K16" s="31"/>
      <c r="L16" s="31"/>
      <c r="M16" s="31"/>
      <c r="N16" s="31"/>
      <c r="O16" s="31">
        <f>N16*12</f>
        <v>0</v>
      </c>
      <c r="P16" s="32"/>
      <c r="Q16" s="21"/>
    </row>
    <row r="17" spans="2:20" s="41" customFormat="1" ht="31.95" customHeight="1" thickBot="1" x14ac:dyDescent="0.3">
      <c r="B17" s="33"/>
      <c r="C17" s="34"/>
      <c r="D17" s="35" t="s">
        <v>24</v>
      </c>
      <c r="E17" s="9"/>
      <c r="F17" s="10"/>
      <c r="G17" s="36"/>
      <c r="H17" s="38"/>
      <c r="I17" s="38"/>
      <c r="J17" s="38"/>
      <c r="K17" s="38"/>
      <c r="L17" s="38"/>
      <c r="M17" s="38">
        <f>SUM(M6:M16)</f>
        <v>0</v>
      </c>
      <c r="N17" s="38">
        <f>SUM(N6:N16)</f>
        <v>0</v>
      </c>
      <c r="O17" s="38">
        <f>SUM(O6:O16)</f>
        <v>0</v>
      </c>
      <c r="P17" s="39"/>
      <c r="Q17" s="40"/>
    </row>
    <row r="18" spans="2:20" ht="16.2" thickBot="1" x14ac:dyDescent="0.3">
      <c r="B18" s="16"/>
      <c r="C18" s="17" t="s">
        <v>25</v>
      </c>
      <c r="D18" s="18" t="s">
        <v>119</v>
      </c>
      <c r="E18" s="9"/>
      <c r="F18" s="10"/>
      <c r="G18" s="19"/>
      <c r="H18" s="19"/>
      <c r="I18" s="19"/>
      <c r="J18" s="19"/>
      <c r="K18" s="19"/>
      <c r="L18" s="19"/>
      <c r="M18" s="19"/>
      <c r="N18" s="19"/>
      <c r="O18" s="19"/>
      <c r="P18" s="20"/>
      <c r="Q18" s="21"/>
    </row>
    <row r="19" spans="2:20" ht="13.8" x14ac:dyDescent="0.25">
      <c r="B19" s="16"/>
      <c r="C19" s="22">
        <v>1</v>
      </c>
      <c r="D19" s="42" t="s">
        <v>26</v>
      </c>
      <c r="E19" s="9"/>
      <c r="F19" s="10"/>
      <c r="G19" s="24"/>
      <c r="H19" s="25"/>
      <c r="I19" s="25"/>
      <c r="J19" s="25"/>
      <c r="K19" s="25"/>
      <c r="L19" s="25"/>
      <c r="M19" s="26"/>
      <c r="N19" s="26"/>
      <c r="O19" s="26"/>
      <c r="P19" s="43"/>
      <c r="Q19" s="21"/>
    </row>
    <row r="20" spans="2:20" ht="13.8" x14ac:dyDescent="0.25">
      <c r="B20" s="16"/>
      <c r="C20" s="44" t="s">
        <v>27</v>
      </c>
      <c r="D20" s="28" t="s">
        <v>28</v>
      </c>
      <c r="E20" s="9"/>
      <c r="F20" s="10"/>
      <c r="G20" s="29">
        <f>'Wage Breakup'!C29</f>
        <v>17195</v>
      </c>
      <c r="H20" s="30"/>
      <c r="I20" s="30"/>
      <c r="J20" s="30"/>
      <c r="K20" s="30"/>
      <c r="L20" s="30"/>
      <c r="M20" s="31">
        <f t="shared" ref="M20:M27" si="5">SUM(H20:L20)</f>
        <v>0</v>
      </c>
      <c r="N20" s="31">
        <f t="shared" ref="N20:N22" si="6">M20*G20</f>
        <v>0</v>
      </c>
      <c r="O20" s="31">
        <f t="shared" ref="O20:O27" si="7">N20*12</f>
        <v>0</v>
      </c>
      <c r="P20" s="32" t="s">
        <v>19</v>
      </c>
      <c r="Q20" s="21"/>
    </row>
    <row r="21" spans="2:20" ht="13.8" x14ac:dyDescent="0.25">
      <c r="B21" s="16"/>
      <c r="C21" s="44" t="s">
        <v>29</v>
      </c>
      <c r="D21" s="28" t="s">
        <v>30</v>
      </c>
      <c r="E21" s="9"/>
      <c r="F21" s="10"/>
      <c r="G21" s="29">
        <f>'Wage Breakup'!D29</f>
        <v>13520</v>
      </c>
      <c r="H21" s="30"/>
      <c r="I21" s="30"/>
      <c r="J21" s="30"/>
      <c r="K21" s="30">
        <v>4</v>
      </c>
      <c r="L21" s="30"/>
      <c r="M21" s="31">
        <f t="shared" si="5"/>
        <v>4</v>
      </c>
      <c r="N21" s="31">
        <f t="shared" si="6"/>
        <v>54080</v>
      </c>
      <c r="O21" s="31">
        <f t="shared" si="7"/>
        <v>648960</v>
      </c>
      <c r="P21" s="32" t="s">
        <v>19</v>
      </c>
      <c r="Q21" s="21"/>
      <c r="T21" s="95"/>
    </row>
    <row r="22" spans="2:20" ht="13.8" x14ac:dyDescent="0.25">
      <c r="B22" s="16"/>
      <c r="C22" s="44" t="s">
        <v>31</v>
      </c>
      <c r="D22" s="28" t="s">
        <v>32</v>
      </c>
      <c r="E22" s="9"/>
      <c r="F22" s="10"/>
      <c r="G22" s="29"/>
      <c r="H22" s="30"/>
      <c r="I22" s="30"/>
      <c r="J22" s="30"/>
      <c r="K22" s="30"/>
      <c r="L22" s="30"/>
      <c r="M22" s="31">
        <f t="shared" si="5"/>
        <v>0</v>
      </c>
      <c r="N22" s="31">
        <f t="shared" si="6"/>
        <v>0</v>
      </c>
      <c r="O22" s="31">
        <f t="shared" si="7"/>
        <v>0</v>
      </c>
      <c r="P22" s="32"/>
      <c r="Q22" s="21"/>
      <c r="T22" s="95"/>
    </row>
    <row r="23" spans="2:20" ht="13.8" x14ac:dyDescent="0.25">
      <c r="B23" s="16"/>
      <c r="C23" s="44" t="s">
        <v>33</v>
      </c>
      <c r="D23" s="28" t="s">
        <v>34</v>
      </c>
      <c r="E23" s="9"/>
      <c r="F23" s="10"/>
      <c r="G23" s="29"/>
      <c r="H23" s="30"/>
      <c r="I23" s="30"/>
      <c r="J23" s="30"/>
      <c r="K23" s="30"/>
      <c r="L23" s="30"/>
      <c r="M23" s="31">
        <f t="shared" si="5"/>
        <v>0</v>
      </c>
      <c r="N23" s="31">
        <f t="shared" ref="N23" si="8">M23*G23</f>
        <v>0</v>
      </c>
      <c r="O23" s="31">
        <f t="shared" si="7"/>
        <v>0</v>
      </c>
      <c r="P23" s="32"/>
      <c r="Q23" s="21"/>
    </row>
    <row r="24" spans="2:20" ht="13.8" x14ac:dyDescent="0.25">
      <c r="B24" s="16"/>
      <c r="C24" s="44" t="s">
        <v>35</v>
      </c>
      <c r="D24" s="28" t="s">
        <v>128</v>
      </c>
      <c r="E24" s="9"/>
      <c r="F24" s="10"/>
      <c r="G24" s="29">
        <f>'Wage Breakup'!G29</f>
        <v>14051</v>
      </c>
      <c r="H24" s="30"/>
      <c r="I24" s="30"/>
      <c r="J24" s="30"/>
      <c r="K24" s="30"/>
      <c r="L24" s="30"/>
      <c r="M24" s="31">
        <f t="shared" si="5"/>
        <v>0</v>
      </c>
      <c r="N24" s="31">
        <f t="shared" ref="N24:N41" si="9">M24*G24</f>
        <v>0</v>
      </c>
      <c r="O24" s="31">
        <f t="shared" si="7"/>
        <v>0</v>
      </c>
      <c r="P24" s="32" t="s">
        <v>133</v>
      </c>
      <c r="Q24" s="21"/>
    </row>
    <row r="25" spans="2:20" ht="13.8" x14ac:dyDescent="0.25">
      <c r="B25" s="16"/>
      <c r="C25" s="44" t="s">
        <v>36</v>
      </c>
      <c r="D25" s="28" t="s">
        <v>37</v>
      </c>
      <c r="E25" s="9"/>
      <c r="F25" s="10"/>
      <c r="G25" s="29">
        <f>'Wage Breakup'!E29</f>
        <v>14864</v>
      </c>
      <c r="H25" s="30"/>
      <c r="I25" s="30"/>
      <c r="J25" s="30"/>
      <c r="K25" s="30"/>
      <c r="L25" s="30"/>
      <c r="M25" s="31">
        <f t="shared" si="5"/>
        <v>0</v>
      </c>
      <c r="N25" s="31">
        <f t="shared" si="9"/>
        <v>0</v>
      </c>
      <c r="O25" s="31">
        <f t="shared" si="7"/>
        <v>0</v>
      </c>
      <c r="P25" s="32"/>
      <c r="Q25" s="21"/>
    </row>
    <row r="26" spans="2:20" ht="13.8" x14ac:dyDescent="0.25">
      <c r="B26" s="16"/>
      <c r="C26" s="44" t="s">
        <v>38</v>
      </c>
      <c r="D26" s="28" t="s">
        <v>39</v>
      </c>
      <c r="E26" s="9"/>
      <c r="F26" s="10"/>
      <c r="G26" s="29"/>
      <c r="H26" s="30"/>
      <c r="I26" s="30"/>
      <c r="J26" s="30"/>
      <c r="K26" s="30"/>
      <c r="L26" s="30"/>
      <c r="M26" s="31">
        <f t="shared" si="5"/>
        <v>0</v>
      </c>
      <c r="N26" s="31">
        <f t="shared" si="9"/>
        <v>0</v>
      </c>
      <c r="O26" s="31">
        <f t="shared" si="7"/>
        <v>0</v>
      </c>
      <c r="P26" s="32"/>
      <c r="Q26" s="21"/>
    </row>
    <row r="27" spans="2:20" ht="13.8" x14ac:dyDescent="0.25">
      <c r="B27" s="16"/>
      <c r="C27" s="44" t="s">
        <v>40</v>
      </c>
      <c r="D27" s="28" t="s">
        <v>41</v>
      </c>
      <c r="E27" s="9"/>
      <c r="F27" s="10"/>
      <c r="G27" s="29">
        <f>'Wage Breakup'!F29</f>
        <v>17206</v>
      </c>
      <c r="H27" s="30"/>
      <c r="I27" s="30"/>
      <c r="J27" s="30"/>
      <c r="K27" s="30"/>
      <c r="L27" s="30"/>
      <c r="M27" s="31">
        <f t="shared" si="5"/>
        <v>0</v>
      </c>
      <c r="N27" s="31">
        <f t="shared" si="9"/>
        <v>0</v>
      </c>
      <c r="O27" s="31">
        <f t="shared" si="7"/>
        <v>0</v>
      </c>
      <c r="P27" s="32"/>
      <c r="Q27" s="21"/>
    </row>
    <row r="28" spans="2:20" ht="13.8" x14ac:dyDescent="0.25">
      <c r="B28" s="16"/>
      <c r="C28" s="27">
        <v>2</v>
      </c>
      <c r="D28" s="45" t="s">
        <v>42</v>
      </c>
      <c r="E28" s="9"/>
      <c r="F28" s="10"/>
      <c r="G28" s="29"/>
      <c r="H28" s="30"/>
      <c r="I28" s="30"/>
      <c r="J28" s="30"/>
      <c r="K28" s="30"/>
      <c r="L28" s="30"/>
      <c r="M28" s="31"/>
      <c r="N28" s="31">
        <f t="shared" si="9"/>
        <v>0</v>
      </c>
      <c r="O28" s="31"/>
      <c r="P28" s="32"/>
      <c r="Q28" s="21"/>
    </row>
    <row r="29" spans="2:20" ht="13.8" x14ac:dyDescent="0.25">
      <c r="B29" s="16"/>
      <c r="C29" s="44" t="s">
        <v>27</v>
      </c>
      <c r="D29" s="28" t="s">
        <v>43</v>
      </c>
      <c r="E29" s="9"/>
      <c r="F29" s="10"/>
      <c r="G29" s="29"/>
      <c r="H29" s="30"/>
      <c r="I29" s="30"/>
      <c r="J29" s="30"/>
      <c r="K29" s="30"/>
      <c r="L29" s="30"/>
      <c r="M29" s="31">
        <f>SUM(H29:L29)</f>
        <v>0</v>
      </c>
      <c r="N29" s="31">
        <f t="shared" si="9"/>
        <v>0</v>
      </c>
      <c r="O29" s="31">
        <f>N29*12</f>
        <v>0</v>
      </c>
      <c r="P29" s="32"/>
      <c r="Q29" s="21"/>
    </row>
    <row r="30" spans="2:20" ht="13.8" x14ac:dyDescent="0.25">
      <c r="B30" s="16"/>
      <c r="C30" s="44" t="s">
        <v>29</v>
      </c>
      <c r="D30" s="28" t="s">
        <v>140</v>
      </c>
      <c r="E30" s="9"/>
      <c r="F30" s="10"/>
      <c r="G30" s="29">
        <f>'Wage Breakup'!H29</f>
        <v>21000</v>
      </c>
      <c r="H30" s="30"/>
      <c r="I30" s="30"/>
      <c r="J30" s="30"/>
      <c r="K30" s="30">
        <v>1</v>
      </c>
      <c r="L30" s="30"/>
      <c r="M30" s="31">
        <f t="shared" ref="M30:M31" si="10">SUM(H30:L30)</f>
        <v>1</v>
      </c>
      <c r="N30" s="31">
        <f t="shared" si="9"/>
        <v>21000</v>
      </c>
      <c r="O30" s="31">
        <f t="shared" ref="O30:O31" si="11">N30*12</f>
        <v>252000</v>
      </c>
      <c r="P30" s="32"/>
      <c r="Q30" s="21"/>
    </row>
    <row r="31" spans="2:20" ht="13.8" x14ac:dyDescent="0.25">
      <c r="B31" s="16"/>
      <c r="C31" s="44" t="s">
        <v>31</v>
      </c>
      <c r="D31" s="28" t="s">
        <v>44</v>
      </c>
      <c r="E31" s="9"/>
      <c r="F31" s="10"/>
      <c r="G31" s="29">
        <f>'Wage Breakup'!I29</f>
        <v>17432</v>
      </c>
      <c r="H31" s="30">
        <v>1</v>
      </c>
      <c r="I31" s="30">
        <v>1</v>
      </c>
      <c r="J31" s="30">
        <v>1</v>
      </c>
      <c r="K31" s="30"/>
      <c r="L31" s="30">
        <v>1</v>
      </c>
      <c r="M31" s="31">
        <f t="shared" si="10"/>
        <v>4</v>
      </c>
      <c r="N31" s="31">
        <f t="shared" si="9"/>
        <v>69728</v>
      </c>
      <c r="O31" s="31">
        <f t="shared" si="11"/>
        <v>836736</v>
      </c>
      <c r="P31" s="32" t="s">
        <v>133</v>
      </c>
      <c r="Q31" s="21"/>
    </row>
    <row r="32" spans="2:20" ht="13.8" x14ac:dyDescent="0.25">
      <c r="B32" s="16"/>
      <c r="C32" s="44" t="s">
        <v>33</v>
      </c>
      <c r="D32" s="28" t="s">
        <v>75</v>
      </c>
      <c r="E32" s="9"/>
      <c r="F32" s="10"/>
      <c r="G32" s="29"/>
      <c r="H32" s="30"/>
      <c r="I32" s="30"/>
      <c r="J32" s="30"/>
      <c r="K32" s="30"/>
      <c r="L32" s="30"/>
      <c r="M32" s="31">
        <f t="shared" ref="M32" si="12">SUM(H32:L32)</f>
        <v>0</v>
      </c>
      <c r="N32" s="31">
        <f t="shared" si="9"/>
        <v>0</v>
      </c>
      <c r="O32" s="31">
        <f>N32*12</f>
        <v>0</v>
      </c>
      <c r="P32" s="32"/>
      <c r="Q32" s="21"/>
    </row>
    <row r="33" spans="2:17" ht="13.8" x14ac:dyDescent="0.25">
      <c r="B33" s="16"/>
      <c r="C33" s="44" t="s">
        <v>35</v>
      </c>
      <c r="D33" s="28" t="s">
        <v>45</v>
      </c>
      <c r="E33" s="9"/>
      <c r="F33" s="10"/>
      <c r="G33" s="29">
        <f>'Wage Breakup'!J29</f>
        <v>17432</v>
      </c>
      <c r="H33" s="30"/>
      <c r="I33" s="30"/>
      <c r="J33" s="30"/>
      <c r="K33" s="30"/>
      <c r="L33" s="30"/>
      <c r="M33" s="31">
        <f t="shared" ref="M33" si="13">SUM(H33:L33)</f>
        <v>0</v>
      </c>
      <c r="N33" s="31">
        <f t="shared" ref="N33" si="14">M33*G33</f>
        <v>0</v>
      </c>
      <c r="O33" s="31">
        <f>N33*12</f>
        <v>0</v>
      </c>
      <c r="P33" s="32"/>
      <c r="Q33" s="21"/>
    </row>
    <row r="34" spans="2:17" ht="13.8" x14ac:dyDescent="0.25">
      <c r="B34" s="16"/>
      <c r="C34" s="44" t="s">
        <v>36</v>
      </c>
      <c r="D34" s="28" t="s">
        <v>46</v>
      </c>
      <c r="E34" s="9"/>
      <c r="F34" s="10"/>
      <c r="G34" s="29">
        <f>'Wage Breakup'!J29</f>
        <v>17432</v>
      </c>
      <c r="H34" s="30"/>
      <c r="I34" s="30"/>
      <c r="J34" s="30"/>
      <c r="K34" s="30">
        <v>1</v>
      </c>
      <c r="L34" s="30"/>
      <c r="M34" s="31">
        <f t="shared" ref="M34:M35" si="15">SUM(H34:L34)</f>
        <v>1</v>
      </c>
      <c r="N34" s="31">
        <f t="shared" si="9"/>
        <v>17432</v>
      </c>
      <c r="O34" s="31">
        <f t="shared" ref="O34:O36" si="16">N34*12</f>
        <v>209184</v>
      </c>
      <c r="P34" s="32" t="s">
        <v>133</v>
      </c>
      <c r="Q34" s="21"/>
    </row>
    <row r="35" spans="2:17" ht="13.8" x14ac:dyDescent="0.25">
      <c r="B35" s="16"/>
      <c r="C35" s="44" t="s">
        <v>38</v>
      </c>
      <c r="D35" s="28" t="s">
        <v>47</v>
      </c>
      <c r="E35" s="9"/>
      <c r="F35" s="10"/>
      <c r="G35" s="29">
        <f>'Wage Breakup'!J29</f>
        <v>17432</v>
      </c>
      <c r="H35" s="30"/>
      <c r="I35" s="30"/>
      <c r="J35" s="30"/>
      <c r="K35" s="30">
        <v>1</v>
      </c>
      <c r="L35" s="30"/>
      <c r="M35" s="31">
        <f t="shared" si="15"/>
        <v>1</v>
      </c>
      <c r="N35" s="31">
        <f t="shared" si="9"/>
        <v>17432</v>
      </c>
      <c r="O35" s="31">
        <f t="shared" si="16"/>
        <v>209184</v>
      </c>
      <c r="P35" s="32"/>
      <c r="Q35" s="21"/>
    </row>
    <row r="36" spans="2:17" ht="13.8" x14ac:dyDescent="0.25">
      <c r="B36" s="16"/>
      <c r="C36" s="44" t="s">
        <v>40</v>
      </c>
      <c r="D36" s="28" t="s">
        <v>48</v>
      </c>
      <c r="E36" s="9"/>
      <c r="F36" s="10"/>
      <c r="G36" s="29">
        <f>'Wage Breakup'!D29</f>
        <v>13520</v>
      </c>
      <c r="H36" s="30"/>
      <c r="I36" s="30"/>
      <c r="J36" s="30"/>
      <c r="K36" s="30"/>
      <c r="L36" s="30"/>
      <c r="M36" s="31">
        <f t="shared" ref="M36" si="17">SUM(H36:L36)</f>
        <v>0</v>
      </c>
      <c r="N36" s="31">
        <f t="shared" si="9"/>
        <v>0</v>
      </c>
      <c r="O36" s="31">
        <f t="shared" si="16"/>
        <v>0</v>
      </c>
      <c r="P36" s="32"/>
      <c r="Q36" s="21"/>
    </row>
    <row r="37" spans="2:17" ht="13.8" x14ac:dyDescent="0.25">
      <c r="B37" s="16"/>
      <c r="C37" s="27">
        <v>3</v>
      </c>
      <c r="D37" s="45" t="s">
        <v>49</v>
      </c>
      <c r="E37" s="9"/>
      <c r="F37" s="10"/>
      <c r="G37" s="29"/>
      <c r="H37" s="30"/>
      <c r="I37" s="30"/>
      <c r="J37" s="30"/>
      <c r="K37" s="30"/>
      <c r="L37" s="30"/>
      <c r="M37" s="31"/>
      <c r="N37" s="31">
        <f t="shared" si="9"/>
        <v>0</v>
      </c>
      <c r="O37" s="31"/>
      <c r="P37" s="32"/>
      <c r="Q37" s="21"/>
    </row>
    <row r="38" spans="2:17" ht="13.8" x14ac:dyDescent="0.25">
      <c r="B38" s="16"/>
      <c r="C38" s="44" t="s">
        <v>27</v>
      </c>
      <c r="D38" s="28" t="s">
        <v>50</v>
      </c>
      <c r="E38" s="9"/>
      <c r="F38" s="10"/>
      <c r="G38" s="29"/>
      <c r="H38" s="30"/>
      <c r="I38" s="30"/>
      <c r="J38" s="30"/>
      <c r="K38" s="30"/>
      <c r="L38" s="30"/>
      <c r="M38" s="31">
        <f t="shared" ref="M38:M41" si="18">SUM(H38:L38)</f>
        <v>0</v>
      </c>
      <c r="N38" s="31">
        <f t="shared" si="9"/>
        <v>0</v>
      </c>
      <c r="O38" s="31">
        <f t="shared" ref="O38:O41" si="19">N38*12</f>
        <v>0</v>
      </c>
      <c r="P38" s="32"/>
      <c r="Q38" s="21"/>
    </row>
    <row r="39" spans="2:17" ht="13.8" x14ac:dyDescent="0.25">
      <c r="B39" s="16"/>
      <c r="C39" s="44" t="s">
        <v>29</v>
      </c>
      <c r="D39" s="96" t="s">
        <v>115</v>
      </c>
      <c r="E39" s="9"/>
      <c r="F39" s="10"/>
      <c r="G39" s="29"/>
      <c r="H39" s="30"/>
      <c r="I39" s="30"/>
      <c r="J39" s="30"/>
      <c r="K39" s="30"/>
      <c r="L39" s="30"/>
      <c r="M39" s="31">
        <f t="shared" si="18"/>
        <v>0</v>
      </c>
      <c r="N39" s="31">
        <f t="shared" si="9"/>
        <v>0</v>
      </c>
      <c r="O39" s="31">
        <f t="shared" si="19"/>
        <v>0</v>
      </c>
      <c r="P39" s="32"/>
      <c r="Q39" s="21"/>
    </row>
    <row r="40" spans="2:17" ht="13.8" x14ac:dyDescent="0.25">
      <c r="B40" s="16"/>
      <c r="C40" s="44" t="s">
        <v>31</v>
      </c>
      <c r="D40" s="28" t="s">
        <v>51</v>
      </c>
      <c r="E40" s="9"/>
      <c r="F40" s="10"/>
      <c r="G40" s="29"/>
      <c r="H40" s="30"/>
      <c r="I40" s="30"/>
      <c r="J40" s="30"/>
      <c r="K40" s="30"/>
      <c r="L40" s="30"/>
      <c r="M40" s="31">
        <f t="shared" si="18"/>
        <v>0</v>
      </c>
      <c r="N40" s="31">
        <f t="shared" si="9"/>
        <v>0</v>
      </c>
      <c r="O40" s="31">
        <f t="shared" si="19"/>
        <v>0</v>
      </c>
      <c r="P40" s="32"/>
      <c r="Q40" s="21"/>
    </row>
    <row r="41" spans="2:17" ht="13.8" x14ac:dyDescent="0.25">
      <c r="B41" s="16"/>
      <c r="C41" s="44" t="s">
        <v>33</v>
      </c>
      <c r="D41" s="28" t="s">
        <v>52</v>
      </c>
      <c r="E41" s="9"/>
      <c r="F41" s="10"/>
      <c r="G41" s="29">
        <v>15500</v>
      </c>
      <c r="H41" s="30"/>
      <c r="I41" s="30"/>
      <c r="J41" s="30"/>
      <c r="K41" s="30"/>
      <c r="L41" s="30"/>
      <c r="M41" s="31">
        <f t="shared" si="18"/>
        <v>0</v>
      </c>
      <c r="N41" s="31">
        <f t="shared" si="9"/>
        <v>0</v>
      </c>
      <c r="O41" s="31">
        <f t="shared" si="19"/>
        <v>0</v>
      </c>
      <c r="P41" s="32" t="s">
        <v>134</v>
      </c>
      <c r="Q41" s="21"/>
    </row>
    <row r="42" spans="2:17" s="41" customFormat="1" ht="14.4" thickBot="1" x14ac:dyDescent="0.3">
      <c r="B42" s="33"/>
      <c r="C42" s="46"/>
      <c r="D42" s="35" t="s">
        <v>53</v>
      </c>
      <c r="E42" s="9"/>
      <c r="F42" s="10"/>
      <c r="G42" s="36"/>
      <c r="H42" s="37"/>
      <c r="I42" s="37"/>
      <c r="J42" s="37"/>
      <c r="K42" s="37"/>
      <c r="L42" s="37"/>
      <c r="M42" s="38">
        <f>SUM(M19:M41)</f>
        <v>11</v>
      </c>
      <c r="N42" s="38">
        <f>SUM(N19:N41)</f>
        <v>179672</v>
      </c>
      <c r="O42" s="38">
        <f>SUM(O19:O41)</f>
        <v>2156064</v>
      </c>
      <c r="P42" s="39"/>
      <c r="Q42" s="40"/>
    </row>
    <row r="43" spans="2:17" ht="16.2" thickBot="1" x14ac:dyDescent="0.3">
      <c r="B43" s="16"/>
      <c r="C43" s="17" t="s">
        <v>54</v>
      </c>
      <c r="D43" s="18" t="s">
        <v>55</v>
      </c>
      <c r="E43" s="9"/>
      <c r="F43" s="10"/>
      <c r="G43" s="19"/>
      <c r="H43" s="19"/>
      <c r="I43" s="19"/>
      <c r="J43" s="19"/>
      <c r="K43" s="19"/>
      <c r="L43" s="19"/>
      <c r="M43" s="19"/>
      <c r="N43" s="19"/>
      <c r="O43" s="19"/>
      <c r="P43" s="20"/>
      <c r="Q43" s="21"/>
    </row>
    <row r="44" spans="2:17" ht="13.8" customHeight="1" x14ac:dyDescent="0.25">
      <c r="B44" s="16"/>
      <c r="C44" s="22">
        <v>1</v>
      </c>
      <c r="D44" s="23" t="s">
        <v>56</v>
      </c>
      <c r="E44" s="9"/>
      <c r="F44" s="10"/>
      <c r="G44" s="24"/>
      <c r="H44" s="25"/>
      <c r="I44" s="25"/>
      <c r="J44" s="25"/>
      <c r="K44" s="25"/>
      <c r="L44" s="25"/>
      <c r="M44" s="26"/>
      <c r="N44" s="26">
        <v>9500</v>
      </c>
      <c r="O44" s="26">
        <f t="shared" ref="O44:O46" si="20">N44*12</f>
        <v>114000</v>
      </c>
      <c r="P44" s="43" t="s">
        <v>138</v>
      </c>
      <c r="Q44" s="21"/>
    </row>
    <row r="45" spans="2:17" ht="13.8" x14ac:dyDescent="0.25">
      <c r="B45" s="16"/>
      <c r="C45" s="27">
        <v>2</v>
      </c>
      <c r="D45" s="28" t="s">
        <v>77</v>
      </c>
      <c r="E45" s="9"/>
      <c r="F45" s="10"/>
      <c r="G45" s="29"/>
      <c r="H45" s="30"/>
      <c r="I45" s="30"/>
      <c r="J45" s="30"/>
      <c r="K45" s="30"/>
      <c r="L45" s="30"/>
      <c r="M45" s="31"/>
      <c r="N45" s="31">
        <v>15000</v>
      </c>
      <c r="O45" s="31">
        <f t="shared" si="20"/>
        <v>180000</v>
      </c>
      <c r="P45" s="32"/>
      <c r="Q45" s="21"/>
    </row>
    <row r="46" spans="2:17" ht="13.8" x14ac:dyDescent="0.25">
      <c r="B46" s="16"/>
      <c r="C46" s="27">
        <v>3</v>
      </c>
      <c r="D46" s="28" t="s">
        <v>57</v>
      </c>
      <c r="E46" s="9"/>
      <c r="F46" s="10"/>
      <c r="G46" s="29"/>
      <c r="H46" s="30"/>
      <c r="I46" s="30"/>
      <c r="J46" s="30"/>
      <c r="K46" s="30"/>
      <c r="L46" s="30"/>
      <c r="M46" s="31"/>
      <c r="N46" s="31">
        <v>3500</v>
      </c>
      <c r="O46" s="31">
        <f t="shared" si="20"/>
        <v>42000</v>
      </c>
      <c r="P46" s="32"/>
      <c r="Q46" s="21"/>
    </row>
    <row r="47" spans="2:17" ht="13.8" x14ac:dyDescent="0.25">
      <c r="B47" s="16"/>
      <c r="C47" s="27">
        <v>4</v>
      </c>
      <c r="D47" s="28" t="s">
        <v>58</v>
      </c>
      <c r="E47" s="9"/>
      <c r="F47" s="10"/>
      <c r="G47" s="29"/>
      <c r="H47" s="30"/>
      <c r="I47" s="30"/>
      <c r="J47" s="30"/>
      <c r="K47" s="30"/>
      <c r="L47" s="30"/>
      <c r="M47" s="31"/>
      <c r="N47" s="31">
        <f>3000*2+3500</f>
        <v>9500</v>
      </c>
      <c r="O47" s="31">
        <f t="shared" ref="O47:O48" si="21">N47*12</f>
        <v>114000</v>
      </c>
      <c r="P47" s="32" t="s">
        <v>137</v>
      </c>
      <c r="Q47" s="21"/>
    </row>
    <row r="48" spans="2:17" ht="13.8" x14ac:dyDescent="0.25">
      <c r="B48" s="16"/>
      <c r="C48" s="27">
        <v>5</v>
      </c>
      <c r="D48" s="28" t="s">
        <v>59</v>
      </c>
      <c r="E48" s="9"/>
      <c r="F48" s="10"/>
      <c r="G48" s="29"/>
      <c r="H48" s="30"/>
      <c r="I48" s="30"/>
      <c r="J48" s="30"/>
      <c r="K48" s="30"/>
      <c r="L48" s="30"/>
      <c r="M48" s="31"/>
      <c r="N48" s="31"/>
      <c r="O48" s="31">
        <f t="shared" si="21"/>
        <v>0</v>
      </c>
      <c r="P48" s="32" t="s">
        <v>135</v>
      </c>
      <c r="Q48" s="21"/>
    </row>
    <row r="49" spans="2:17" ht="13.8" x14ac:dyDescent="0.25">
      <c r="B49" s="16"/>
      <c r="C49" s="27">
        <v>6</v>
      </c>
      <c r="D49" s="28" t="s">
        <v>60</v>
      </c>
      <c r="E49" s="9"/>
      <c r="F49" s="10"/>
      <c r="G49" s="29"/>
      <c r="H49" s="30"/>
      <c r="I49" s="30"/>
      <c r="J49" s="30"/>
      <c r="K49" s="30"/>
      <c r="L49" s="30"/>
      <c r="M49" s="31"/>
      <c r="N49" s="31"/>
      <c r="O49" s="31">
        <f t="shared" ref="O49:O59" si="22">N49*12</f>
        <v>0</v>
      </c>
      <c r="P49" s="32" t="s">
        <v>136</v>
      </c>
      <c r="Q49" s="21"/>
    </row>
    <row r="50" spans="2:17" ht="13.8" x14ac:dyDescent="0.25">
      <c r="B50" s="16"/>
      <c r="C50" s="27">
        <v>7</v>
      </c>
      <c r="D50" s="28" t="s">
        <v>61</v>
      </c>
      <c r="E50" s="9"/>
      <c r="F50" s="10"/>
      <c r="G50" s="29"/>
      <c r="H50" s="30"/>
      <c r="I50" s="30"/>
      <c r="J50" s="30"/>
      <c r="K50" s="30"/>
      <c r="L50" s="30"/>
      <c r="M50" s="31"/>
      <c r="N50" s="31"/>
      <c r="O50" s="31">
        <f t="shared" si="22"/>
        <v>0</v>
      </c>
      <c r="P50" s="32" t="s">
        <v>76</v>
      </c>
      <c r="Q50" s="21"/>
    </row>
    <row r="51" spans="2:17" ht="13.8" x14ac:dyDescent="0.25">
      <c r="B51" s="16"/>
      <c r="C51" s="27">
        <v>8</v>
      </c>
      <c r="D51" s="28" t="s">
        <v>62</v>
      </c>
      <c r="E51" s="9"/>
      <c r="F51" s="10"/>
      <c r="G51" s="29"/>
      <c r="H51" s="30"/>
      <c r="I51" s="30"/>
      <c r="J51" s="30"/>
      <c r="K51" s="30"/>
      <c r="L51" s="30"/>
      <c r="M51" s="31"/>
      <c r="N51" s="31"/>
      <c r="O51" s="31">
        <f t="shared" si="22"/>
        <v>0</v>
      </c>
      <c r="P51" s="32" t="s">
        <v>112</v>
      </c>
      <c r="Q51" s="21"/>
    </row>
    <row r="52" spans="2:17" ht="26.4" x14ac:dyDescent="0.25">
      <c r="B52" s="16"/>
      <c r="C52" s="27">
        <v>9</v>
      </c>
      <c r="D52" s="28" t="s">
        <v>63</v>
      </c>
      <c r="E52" s="9"/>
      <c r="F52" s="10"/>
      <c r="G52" s="29"/>
      <c r="H52" s="30"/>
      <c r="I52" s="30"/>
      <c r="J52" s="30"/>
      <c r="K52" s="30"/>
      <c r="L52" s="30"/>
      <c r="M52" s="31"/>
      <c r="N52" s="31"/>
      <c r="O52" s="31">
        <f t="shared" si="22"/>
        <v>0</v>
      </c>
      <c r="P52" s="32" t="s">
        <v>113</v>
      </c>
      <c r="Q52" s="21"/>
    </row>
    <row r="53" spans="2:17" ht="13.8" x14ac:dyDescent="0.25">
      <c r="B53" s="16"/>
      <c r="C53" s="27">
        <v>10</v>
      </c>
      <c r="D53" s="45" t="s">
        <v>130</v>
      </c>
      <c r="E53" s="9"/>
      <c r="F53" s="10"/>
      <c r="G53" s="29"/>
      <c r="H53" s="30"/>
      <c r="I53" s="30"/>
      <c r="J53" s="30"/>
      <c r="K53" s="30"/>
      <c r="L53" s="30"/>
      <c r="M53" s="31"/>
      <c r="N53" s="31"/>
      <c r="O53" s="31">
        <f t="shared" si="22"/>
        <v>0</v>
      </c>
      <c r="P53" s="32" t="s">
        <v>131</v>
      </c>
      <c r="Q53" s="21"/>
    </row>
    <row r="54" spans="2:17" ht="13.8" x14ac:dyDescent="0.25">
      <c r="B54" s="16"/>
      <c r="C54" s="27">
        <v>11</v>
      </c>
      <c r="D54" s="28" t="s">
        <v>64</v>
      </c>
      <c r="E54" s="9"/>
      <c r="F54" s="10"/>
      <c r="G54" s="29"/>
      <c r="H54" s="30"/>
      <c r="I54" s="30"/>
      <c r="J54" s="30"/>
      <c r="K54" s="30"/>
      <c r="L54" s="30"/>
      <c r="M54" s="31"/>
      <c r="N54" s="31"/>
      <c r="O54" s="31">
        <f t="shared" si="22"/>
        <v>0</v>
      </c>
      <c r="P54" s="32"/>
      <c r="Q54" s="21"/>
    </row>
    <row r="55" spans="2:17" ht="13.8" x14ac:dyDescent="0.25">
      <c r="B55" s="16"/>
      <c r="C55" s="27">
        <v>12</v>
      </c>
      <c r="D55" s="28" t="s">
        <v>65</v>
      </c>
      <c r="E55" s="9"/>
      <c r="F55" s="10"/>
      <c r="G55" s="29"/>
      <c r="H55" s="30"/>
      <c r="I55" s="30"/>
      <c r="J55" s="30"/>
      <c r="K55" s="30"/>
      <c r="L55" s="30"/>
      <c r="M55" s="31"/>
      <c r="N55" s="31"/>
      <c r="O55" s="31">
        <f t="shared" si="22"/>
        <v>0</v>
      </c>
      <c r="P55" s="32"/>
      <c r="Q55" s="21"/>
    </row>
    <row r="56" spans="2:17" ht="13.8" x14ac:dyDescent="0.25">
      <c r="B56" s="16"/>
      <c r="C56" s="27">
        <v>13</v>
      </c>
      <c r="D56" s="28" t="s">
        <v>66</v>
      </c>
      <c r="E56" s="9"/>
      <c r="F56" s="10"/>
      <c r="G56" s="29"/>
      <c r="H56" s="30"/>
      <c r="I56" s="30"/>
      <c r="J56" s="30"/>
      <c r="K56" s="30"/>
      <c r="L56" s="30"/>
      <c r="M56" s="31"/>
      <c r="N56" s="31"/>
      <c r="O56" s="31">
        <f t="shared" si="22"/>
        <v>0</v>
      </c>
      <c r="P56" s="32" t="s">
        <v>116</v>
      </c>
      <c r="Q56" s="21"/>
    </row>
    <row r="57" spans="2:17" ht="13.8" x14ac:dyDescent="0.25">
      <c r="B57" s="16"/>
      <c r="C57" s="27">
        <v>14</v>
      </c>
      <c r="D57" s="28" t="s">
        <v>67</v>
      </c>
      <c r="E57" s="9"/>
      <c r="F57" s="10"/>
      <c r="G57" s="29"/>
      <c r="H57" s="30"/>
      <c r="I57" s="30"/>
      <c r="J57" s="30"/>
      <c r="K57" s="30"/>
      <c r="L57" s="30"/>
      <c r="M57" s="31"/>
      <c r="N57" s="31"/>
      <c r="O57" s="31">
        <f t="shared" si="22"/>
        <v>0</v>
      </c>
      <c r="P57" s="32"/>
      <c r="Q57" s="21"/>
    </row>
    <row r="58" spans="2:17" ht="13.8" x14ac:dyDescent="0.25">
      <c r="B58" s="16"/>
      <c r="C58" s="27">
        <v>15</v>
      </c>
      <c r="D58" s="28" t="s">
        <v>68</v>
      </c>
      <c r="E58" s="9"/>
      <c r="F58" s="10"/>
      <c r="G58" s="29"/>
      <c r="H58" s="30"/>
      <c r="I58" s="30"/>
      <c r="J58" s="30"/>
      <c r="K58" s="30"/>
      <c r="L58" s="30"/>
      <c r="M58" s="31"/>
      <c r="N58" s="31"/>
      <c r="O58" s="31">
        <f t="shared" si="22"/>
        <v>0</v>
      </c>
      <c r="P58" s="32" t="s">
        <v>117</v>
      </c>
      <c r="Q58" s="21"/>
    </row>
    <row r="59" spans="2:17" ht="13.8" x14ac:dyDescent="0.25">
      <c r="B59" s="16"/>
      <c r="C59" s="27">
        <v>16</v>
      </c>
      <c r="D59" s="28" t="s">
        <v>69</v>
      </c>
      <c r="E59" s="9"/>
      <c r="F59" s="10"/>
      <c r="G59" s="29"/>
      <c r="H59" s="30"/>
      <c r="I59" s="30"/>
      <c r="J59" s="30"/>
      <c r="K59" s="30"/>
      <c r="L59" s="30"/>
      <c r="M59" s="31"/>
      <c r="N59" s="31"/>
      <c r="O59" s="31">
        <f t="shared" si="22"/>
        <v>0</v>
      </c>
      <c r="P59" s="32" t="s">
        <v>118</v>
      </c>
      <c r="Q59" s="21"/>
    </row>
    <row r="60" spans="2:17" s="41" customFormat="1" ht="25.05" customHeight="1" thickBot="1" x14ac:dyDescent="0.3">
      <c r="B60" s="33"/>
      <c r="C60" s="34"/>
      <c r="D60" s="35" t="s">
        <v>70</v>
      </c>
      <c r="E60" s="9"/>
      <c r="F60" s="10"/>
      <c r="G60" s="36"/>
      <c r="H60" s="37"/>
      <c r="I60" s="37"/>
      <c r="J60" s="37"/>
      <c r="K60" s="37"/>
      <c r="L60" s="37"/>
      <c r="M60" s="38"/>
      <c r="N60" s="38">
        <f>SUM(N44:N59)</f>
        <v>37500</v>
      </c>
      <c r="O60" s="38">
        <f>SUM(O44:O59)</f>
        <v>450000</v>
      </c>
      <c r="P60" s="39"/>
      <c r="Q60" s="40"/>
    </row>
    <row r="61" spans="2:17" ht="14.4" thickBot="1" x14ac:dyDescent="0.3">
      <c r="B61" s="16"/>
      <c r="C61" s="47"/>
      <c r="D61" s="48"/>
      <c r="E61" s="9"/>
      <c r="F61" s="10"/>
      <c r="G61" s="19"/>
      <c r="H61" s="19"/>
      <c r="I61" s="19"/>
      <c r="J61" s="19"/>
      <c r="K61" s="19"/>
      <c r="L61" s="19"/>
      <c r="M61" s="19"/>
      <c r="N61" s="19"/>
      <c r="O61" s="19"/>
      <c r="P61" s="20"/>
      <c r="Q61" s="21"/>
    </row>
    <row r="62" spans="2:17" s="41" customFormat="1" ht="16.2" thickBot="1" x14ac:dyDescent="0.3">
      <c r="B62" s="33"/>
      <c r="C62" s="49" t="s">
        <v>71</v>
      </c>
      <c r="D62" s="50" t="s">
        <v>72</v>
      </c>
      <c r="E62" s="9"/>
      <c r="F62" s="10"/>
      <c r="G62" s="51"/>
      <c r="H62" s="52"/>
      <c r="I62" s="52"/>
      <c r="J62" s="52"/>
      <c r="K62" s="52"/>
      <c r="L62" s="52"/>
      <c r="M62" s="103">
        <v>7.0000000000000007E-2</v>
      </c>
      <c r="N62" s="52">
        <f>(N42+N17)*M62</f>
        <v>12577.04</v>
      </c>
      <c r="O62" s="52">
        <f>N62*12</f>
        <v>150924.48000000001</v>
      </c>
      <c r="P62" s="53"/>
      <c r="Q62" s="40"/>
    </row>
    <row r="63" spans="2:17" s="41" customFormat="1" ht="16.2" thickBot="1" x14ac:dyDescent="0.3">
      <c r="B63" s="33"/>
      <c r="C63" s="54"/>
      <c r="D63" s="55"/>
      <c r="E63" s="9"/>
      <c r="F63" s="10"/>
      <c r="G63" s="56"/>
      <c r="H63" s="56"/>
      <c r="I63" s="56"/>
      <c r="J63" s="56"/>
      <c r="K63" s="56"/>
      <c r="L63" s="56"/>
      <c r="M63" s="56"/>
      <c r="N63" s="56"/>
      <c r="O63" s="56"/>
      <c r="P63" s="57"/>
      <c r="Q63" s="40"/>
    </row>
    <row r="64" spans="2:17" s="41" customFormat="1" ht="16.2" thickBot="1" x14ac:dyDescent="0.3">
      <c r="B64" s="33"/>
      <c r="C64" s="49" t="s">
        <v>73</v>
      </c>
      <c r="D64" s="50" t="s">
        <v>74</v>
      </c>
      <c r="E64" s="9"/>
      <c r="F64" s="10"/>
      <c r="G64" s="51"/>
      <c r="H64" s="52"/>
      <c r="I64" s="52"/>
      <c r="J64" s="52"/>
      <c r="K64" s="52"/>
      <c r="L64" s="52"/>
      <c r="M64" s="52"/>
      <c r="N64" s="52">
        <f>(N62+N60+N42+N17)</f>
        <v>229749.04</v>
      </c>
      <c r="O64" s="52">
        <f>N64*12</f>
        <v>2756988.48</v>
      </c>
      <c r="P64" s="53"/>
      <c r="Q64" s="40"/>
    </row>
    <row r="65" spans="2:17" ht="14.4" thickBot="1" x14ac:dyDescent="0.3">
      <c r="B65" s="58"/>
      <c r="C65" s="59"/>
      <c r="D65" s="60"/>
      <c r="E65" s="61"/>
      <c r="F65" s="63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4"/>
    </row>
    <row r="66" spans="2:17" x14ac:dyDescent="0.25">
      <c r="E66" s="65"/>
      <c r="F66" s="66"/>
    </row>
    <row r="67" spans="2:17" x14ac:dyDescent="0.25">
      <c r="E67" s="65"/>
      <c r="F67" s="66"/>
    </row>
    <row r="68" spans="2:17" ht="13.8" x14ac:dyDescent="0.25">
      <c r="D68" s="101" t="s">
        <v>120</v>
      </c>
    </row>
    <row r="69" spans="2:17" ht="13.8" x14ac:dyDescent="0.25">
      <c r="D69" s="102" t="s">
        <v>121</v>
      </c>
    </row>
    <row r="70" spans="2:17" ht="13.8" x14ac:dyDescent="0.25">
      <c r="D70" s="102" t="s">
        <v>122</v>
      </c>
    </row>
    <row r="71" spans="2:17" ht="13.8" x14ac:dyDescent="0.25">
      <c r="D71" s="102" t="s">
        <v>123</v>
      </c>
    </row>
    <row r="72" spans="2:17" ht="13.8" x14ac:dyDescent="0.25">
      <c r="D72" s="102" t="s">
        <v>124</v>
      </c>
    </row>
    <row r="73" spans="2:17" ht="13.8" x14ac:dyDescent="0.25">
      <c r="D73" s="102" t="s">
        <v>125</v>
      </c>
    </row>
    <row r="74" spans="2:17" ht="13.8" x14ac:dyDescent="0.25">
      <c r="D74" s="102" t="s">
        <v>126</v>
      </c>
    </row>
    <row r="75" spans="2:17" ht="13.8" x14ac:dyDescent="0.25">
      <c r="D75" s="102" t="s">
        <v>139</v>
      </c>
    </row>
    <row r="76" spans="2:17" ht="13.8" x14ac:dyDescent="0.25">
      <c r="D76" s="102"/>
    </row>
    <row r="77" spans="2:17" ht="13.8" x14ac:dyDescent="0.25">
      <c r="D77" s="102"/>
    </row>
  </sheetData>
  <mergeCells count="4">
    <mergeCell ref="G3:P3"/>
    <mergeCell ref="C2:F2"/>
    <mergeCell ref="C3:C4"/>
    <mergeCell ref="D3:D4"/>
  </mergeCells>
  <pageMargins left="0.74791666666666667" right="0.74791666666666667" top="0.98402777777777772" bottom="0.98402777777777772" header="0.51180555555555562" footer="0.51180555555555562"/>
  <pageSetup paperSize="256" fitToWidth="0" fitToHeight="0" orientation="portrait" useFirstPageNumber="1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workbookViewId="0">
      <selection activeCell="K11" sqref="K11"/>
    </sheetView>
  </sheetViews>
  <sheetFormatPr defaultRowHeight="13.2" x14ac:dyDescent="0.25"/>
  <cols>
    <col min="2" max="2" width="41.21875" style="67" customWidth="1"/>
    <col min="3" max="10" width="11.5546875" customWidth="1"/>
  </cols>
  <sheetData>
    <row r="1" spans="2:10" ht="13.8" thickBot="1" x14ac:dyDescent="0.3"/>
    <row r="2" spans="2:10" ht="15" thickBot="1" x14ac:dyDescent="0.3">
      <c r="B2" s="111" t="s">
        <v>79</v>
      </c>
      <c r="C2" s="112"/>
      <c r="D2" s="112"/>
      <c r="E2" s="112"/>
      <c r="F2" s="112"/>
      <c r="G2" s="112"/>
      <c r="H2" s="112"/>
      <c r="I2" s="112"/>
      <c r="J2" s="112"/>
    </row>
    <row r="3" spans="2:10" ht="29.4" thickBot="1" x14ac:dyDescent="0.35">
      <c r="B3" s="68" t="s">
        <v>80</v>
      </c>
      <c r="C3" s="69" t="s">
        <v>28</v>
      </c>
      <c r="D3" s="69" t="s">
        <v>81</v>
      </c>
      <c r="E3" s="69" t="s">
        <v>37</v>
      </c>
      <c r="F3" s="69" t="s">
        <v>82</v>
      </c>
      <c r="G3" s="69" t="s">
        <v>83</v>
      </c>
      <c r="H3" s="70" t="s">
        <v>140</v>
      </c>
      <c r="I3" s="70" t="s">
        <v>43</v>
      </c>
      <c r="J3" s="70" t="s">
        <v>132</v>
      </c>
    </row>
    <row r="4" spans="2:10" ht="28.8" x14ac:dyDescent="0.25">
      <c r="B4" s="71" t="s">
        <v>84</v>
      </c>
      <c r="C4" s="72" t="s">
        <v>87</v>
      </c>
      <c r="D4" s="72" t="s">
        <v>86</v>
      </c>
      <c r="E4" s="72" t="s">
        <v>87</v>
      </c>
      <c r="F4" s="72" t="s">
        <v>87</v>
      </c>
      <c r="G4" s="72" t="s">
        <v>86</v>
      </c>
      <c r="H4" s="72" t="s">
        <v>88</v>
      </c>
      <c r="I4" s="72" t="s">
        <v>85</v>
      </c>
      <c r="J4" s="72" t="s">
        <v>85</v>
      </c>
    </row>
    <row r="5" spans="2:10" ht="14.4" x14ac:dyDescent="0.25">
      <c r="B5" s="73" t="s">
        <v>89</v>
      </c>
      <c r="C5" s="74">
        <v>8379</v>
      </c>
      <c r="D5" s="74">
        <v>7600</v>
      </c>
      <c r="E5" s="74">
        <v>8379</v>
      </c>
      <c r="F5" s="74">
        <v>8379</v>
      </c>
      <c r="G5" s="74">
        <v>7600</v>
      </c>
      <c r="H5" s="74">
        <v>9237.85</v>
      </c>
      <c r="I5" s="74">
        <v>8797.9500000000007</v>
      </c>
      <c r="J5" s="74">
        <v>8797.9500000000007</v>
      </c>
    </row>
    <row r="6" spans="2:10" ht="15" thickBot="1" x14ac:dyDescent="0.3">
      <c r="B6" s="75" t="s">
        <v>90</v>
      </c>
      <c r="C6" s="76">
        <f>10427.62-C5</f>
        <v>2048.6200000000008</v>
      </c>
      <c r="D6" s="76">
        <f>9458.2-7600</f>
        <v>1858.2000000000007</v>
      </c>
      <c r="E6" s="76">
        <f>10427.62-E5</f>
        <v>2048.6200000000008</v>
      </c>
      <c r="F6" s="76">
        <f t="shared" ref="F6" si="0">10427.62-F5</f>
        <v>2048.6200000000008</v>
      </c>
      <c r="G6" s="76">
        <f>9458.2-7600</f>
        <v>1858.2000000000007</v>
      </c>
      <c r="H6" s="76">
        <f>11496.47-H5</f>
        <v>2258.619999999999</v>
      </c>
      <c r="I6" s="76">
        <f>10949.01-I5</f>
        <v>2151.0599999999995</v>
      </c>
      <c r="J6" s="76">
        <f>10949.01-J5</f>
        <v>2151.0599999999995</v>
      </c>
    </row>
    <row r="7" spans="2:10" ht="15" thickBot="1" x14ac:dyDescent="0.35">
      <c r="B7" s="77" t="s">
        <v>91</v>
      </c>
      <c r="C7" s="78">
        <f t="shared" ref="C7:J7" si="1">SUM(C5:C6)</f>
        <v>10427.620000000001</v>
      </c>
      <c r="D7" s="78">
        <f t="shared" si="1"/>
        <v>9458.2000000000007</v>
      </c>
      <c r="E7" s="78">
        <f t="shared" si="1"/>
        <v>10427.620000000001</v>
      </c>
      <c r="F7" s="78">
        <f t="shared" si="1"/>
        <v>10427.620000000001</v>
      </c>
      <c r="G7" s="78">
        <f t="shared" si="1"/>
        <v>9458.2000000000007</v>
      </c>
      <c r="H7" s="78">
        <f t="shared" si="1"/>
        <v>11496.47</v>
      </c>
      <c r="I7" s="78">
        <f t="shared" si="1"/>
        <v>10949.01</v>
      </c>
      <c r="J7" s="78">
        <f t="shared" si="1"/>
        <v>10949.01</v>
      </c>
    </row>
    <row r="8" spans="2:10" ht="14.4" x14ac:dyDescent="0.25">
      <c r="B8" s="79" t="s">
        <v>92</v>
      </c>
      <c r="C8" s="80">
        <f>19.9%*C7</f>
        <v>2075.09638</v>
      </c>
      <c r="D8" s="80"/>
      <c r="E8" s="80"/>
      <c r="F8" s="80">
        <f>20%*F7</f>
        <v>2085.5240000000003</v>
      </c>
      <c r="G8" s="80">
        <f>5%*G7</f>
        <v>472.91000000000008</v>
      </c>
      <c r="H8" s="80">
        <f>36.04%*H7</f>
        <v>4143.3277879999996</v>
      </c>
      <c r="I8" s="80">
        <f>15%*I7</f>
        <v>1642.3515</v>
      </c>
      <c r="J8" s="80">
        <f>15%*J7</f>
        <v>1642.3515</v>
      </c>
    </row>
    <row r="9" spans="2:10" ht="14.4" x14ac:dyDescent="0.25">
      <c r="B9" s="81" t="s">
        <v>93</v>
      </c>
      <c r="C9" s="104"/>
      <c r="D9" s="104"/>
      <c r="E9" s="104"/>
      <c r="F9" s="104"/>
      <c r="G9" s="104"/>
      <c r="H9" s="104"/>
      <c r="I9" s="104"/>
      <c r="J9" s="104"/>
    </row>
    <row r="10" spans="2:10" ht="14.4" x14ac:dyDescent="0.3">
      <c r="B10" s="87" t="s">
        <v>107</v>
      </c>
      <c r="C10" s="104">
        <f>8.77%*SUM(C7:C9)</f>
        <v>1096.4882265260001</v>
      </c>
      <c r="D10" s="104">
        <f t="shared" ref="D10:J10" si="2">8.77%*SUM(D7:D9)</f>
        <v>829.48414000000002</v>
      </c>
      <c r="E10" s="104">
        <f t="shared" si="2"/>
        <v>914.50227400000006</v>
      </c>
      <c r="F10" s="104">
        <f t="shared" si="2"/>
        <v>1097.4027288</v>
      </c>
      <c r="G10" s="104">
        <f t="shared" si="2"/>
        <v>870.958347</v>
      </c>
      <c r="H10" s="104">
        <f t="shared" si="2"/>
        <v>1371.6102660076001</v>
      </c>
      <c r="I10" s="104">
        <f t="shared" si="2"/>
        <v>1104.26240355</v>
      </c>
      <c r="J10" s="104">
        <f t="shared" si="2"/>
        <v>1104.26240355</v>
      </c>
    </row>
    <row r="11" spans="2:10" ht="15" thickBot="1" x14ac:dyDescent="0.35">
      <c r="B11" s="87" t="s">
        <v>106</v>
      </c>
      <c r="C11" s="83">
        <f>8.33%*C7</f>
        <v>868.62074600000005</v>
      </c>
      <c r="D11" s="83">
        <f t="shared" ref="D11:J11" si="3">8.33%*D7</f>
        <v>787.86806000000001</v>
      </c>
      <c r="E11" s="83">
        <f t="shared" si="3"/>
        <v>868.62074600000005</v>
      </c>
      <c r="F11" s="83">
        <f t="shared" si="3"/>
        <v>868.62074600000005</v>
      </c>
      <c r="G11" s="83">
        <f t="shared" si="3"/>
        <v>787.86806000000001</v>
      </c>
      <c r="H11" s="83">
        <f t="shared" si="3"/>
        <v>957.65595099999996</v>
      </c>
      <c r="I11" s="83">
        <f t="shared" si="3"/>
        <v>912.05253300000004</v>
      </c>
      <c r="J11" s="83">
        <f t="shared" si="3"/>
        <v>912.05253300000004</v>
      </c>
    </row>
    <row r="12" spans="2:10" ht="15" thickBot="1" x14ac:dyDescent="0.35">
      <c r="B12" s="77" t="s">
        <v>94</v>
      </c>
      <c r="C12" s="84">
        <f>SUM(C7:C11)</f>
        <v>14467.825352526002</v>
      </c>
      <c r="D12" s="84">
        <f t="shared" ref="D12:J12" si="4">SUM(D7:D11)</f>
        <v>11075.552200000002</v>
      </c>
      <c r="E12" s="84">
        <f t="shared" si="4"/>
        <v>12210.743020000002</v>
      </c>
      <c r="F12" s="84">
        <f t="shared" si="4"/>
        <v>14479.1674748</v>
      </c>
      <c r="G12" s="84">
        <f t="shared" si="4"/>
        <v>11589.936407000001</v>
      </c>
      <c r="H12" s="84">
        <f t="shared" si="4"/>
        <v>17969.0640050076</v>
      </c>
      <c r="I12" s="84">
        <f t="shared" si="4"/>
        <v>14607.67643655</v>
      </c>
      <c r="J12" s="84">
        <f t="shared" si="4"/>
        <v>14607.67643655</v>
      </c>
    </row>
    <row r="13" spans="2:10" ht="14.4" x14ac:dyDescent="0.3">
      <c r="B13" s="85" t="s">
        <v>95</v>
      </c>
      <c r="C13" s="86"/>
      <c r="D13" s="86"/>
      <c r="E13" s="86"/>
      <c r="F13" s="86"/>
      <c r="G13" s="86"/>
      <c r="H13" s="86"/>
      <c r="I13" s="86"/>
      <c r="J13" s="86"/>
    </row>
    <row r="14" spans="2:10" ht="14.4" x14ac:dyDescent="0.3">
      <c r="B14" s="87" t="s">
        <v>96</v>
      </c>
      <c r="C14" s="88">
        <f>IF(SUM(C12-C8-C10-C11)&gt;15000,(15000*12%),IF(SUM(C12-C8-C10-C11)=15000,15000*12%,IF(SUM(C12-C8-C10-C11)&lt;15000,SUM(C12-C8-C10-C11)*12%,0)))</f>
        <v>1251.3144</v>
      </c>
      <c r="D14" s="88">
        <f t="shared" ref="D14:J14" si="5">IF(SUM(D12-D8-D10-D11)&gt;15000,(15000*12%),IF(SUM(D12-D8-D10-D11)=15000,15000*12%,IF(SUM(D12-D8-D10-D11)&lt;15000,SUM(D12-D8-D10-D11)*12%,0)))</f>
        <v>1134.9840000000002</v>
      </c>
      <c r="E14" s="88">
        <f t="shared" si="5"/>
        <v>1251.3144</v>
      </c>
      <c r="F14" s="88">
        <f t="shared" si="5"/>
        <v>1251.3143999999998</v>
      </c>
      <c r="G14" s="88">
        <f t="shared" si="5"/>
        <v>1134.9840000000002</v>
      </c>
      <c r="H14" s="88">
        <f t="shared" si="5"/>
        <v>1379.5764000000001</v>
      </c>
      <c r="I14" s="88">
        <f t="shared" si="5"/>
        <v>1313.8812</v>
      </c>
      <c r="J14" s="88">
        <f t="shared" si="5"/>
        <v>1313.8812</v>
      </c>
    </row>
    <row r="15" spans="2:10" ht="14.4" x14ac:dyDescent="0.3">
      <c r="B15" s="87" t="s">
        <v>97</v>
      </c>
      <c r="C15" s="88">
        <f>IF(C12&gt;21000,0,IF(C12&lt;21000,C12*0.75%))</f>
        <v>108.50869014394502</v>
      </c>
      <c r="D15" s="88">
        <f t="shared" ref="D15:J15" si="6">IF(D12&gt;21000,0,IF(D12&lt;21000,D12*0.75%))</f>
        <v>83.066641500000017</v>
      </c>
      <c r="E15" s="88">
        <f t="shared" si="6"/>
        <v>91.580572650000008</v>
      </c>
      <c r="F15" s="88">
        <f t="shared" si="6"/>
        <v>108.59375606099999</v>
      </c>
      <c r="G15" s="88">
        <f t="shared" si="6"/>
        <v>86.924523052500007</v>
      </c>
      <c r="H15" s="88">
        <f t="shared" si="6"/>
        <v>134.76798003755698</v>
      </c>
      <c r="I15" s="88">
        <f t="shared" si="6"/>
        <v>109.55757327412501</v>
      </c>
      <c r="J15" s="88">
        <f t="shared" si="6"/>
        <v>109.55757327412501</v>
      </c>
    </row>
    <row r="16" spans="2:10" ht="14.4" x14ac:dyDescent="0.3">
      <c r="B16" s="87" t="s">
        <v>98</v>
      </c>
      <c r="C16" s="89">
        <v>25</v>
      </c>
      <c r="D16" s="89">
        <v>25</v>
      </c>
      <c r="E16" s="89">
        <v>25</v>
      </c>
      <c r="F16" s="89">
        <v>25</v>
      </c>
      <c r="G16" s="89">
        <v>25</v>
      </c>
      <c r="H16" s="89">
        <v>25</v>
      </c>
      <c r="I16" s="89">
        <v>25</v>
      </c>
      <c r="J16" s="89">
        <v>25</v>
      </c>
    </row>
    <row r="17" spans="2:10" ht="15" thickBot="1" x14ac:dyDescent="0.35">
      <c r="B17" s="82" t="s">
        <v>99</v>
      </c>
      <c r="C17" s="90" t="s">
        <v>100</v>
      </c>
      <c r="D17" s="90" t="s">
        <v>100</v>
      </c>
      <c r="E17" s="90" t="s">
        <v>100</v>
      </c>
      <c r="F17" s="90" t="s">
        <v>100</v>
      </c>
      <c r="G17" s="90" t="s">
        <v>100</v>
      </c>
      <c r="H17" s="90" t="s">
        <v>100</v>
      </c>
      <c r="I17" s="90" t="s">
        <v>100</v>
      </c>
      <c r="J17" s="90" t="s">
        <v>100</v>
      </c>
    </row>
    <row r="18" spans="2:10" ht="15" thickBot="1" x14ac:dyDescent="0.35">
      <c r="B18" s="77" t="s">
        <v>101</v>
      </c>
      <c r="C18" s="78">
        <f t="shared" ref="C18:J18" si="7">SUM(C14:C17)</f>
        <v>1384.8230901439449</v>
      </c>
      <c r="D18" s="78">
        <f t="shared" si="7"/>
        <v>1243.0506415000002</v>
      </c>
      <c r="E18" s="78">
        <f t="shared" si="7"/>
        <v>1367.89497265</v>
      </c>
      <c r="F18" s="78">
        <f t="shared" si="7"/>
        <v>1384.9081560609998</v>
      </c>
      <c r="G18" s="78">
        <f t="shared" si="7"/>
        <v>1246.9085230525002</v>
      </c>
      <c r="H18" s="78">
        <f t="shared" si="7"/>
        <v>1539.3443800375571</v>
      </c>
      <c r="I18" s="78">
        <f t="shared" si="7"/>
        <v>1448.438773274125</v>
      </c>
      <c r="J18" s="78">
        <f t="shared" si="7"/>
        <v>1448.438773274125</v>
      </c>
    </row>
    <row r="19" spans="2:10" ht="15" thickBot="1" x14ac:dyDescent="0.35">
      <c r="B19" s="91"/>
      <c r="C19" s="92"/>
      <c r="D19" s="92"/>
      <c r="E19" s="92"/>
      <c r="F19" s="92"/>
      <c r="G19" s="92"/>
      <c r="H19" s="92"/>
      <c r="I19" s="92"/>
      <c r="J19" s="92"/>
    </row>
    <row r="20" spans="2:10" ht="15" thickBot="1" x14ac:dyDescent="0.35">
      <c r="B20" s="77" t="s">
        <v>102</v>
      </c>
      <c r="C20" s="78">
        <f>C12-C18</f>
        <v>13083.002262382057</v>
      </c>
      <c r="D20" s="78">
        <f t="shared" ref="D20:J20" si="8">D12-D18</f>
        <v>9832.5015585000019</v>
      </c>
      <c r="E20" s="78">
        <f t="shared" si="8"/>
        <v>10842.848047350002</v>
      </c>
      <c r="F20" s="78">
        <f t="shared" si="8"/>
        <v>13094.259318739001</v>
      </c>
      <c r="G20" s="78">
        <f t="shared" si="8"/>
        <v>10343.027883947501</v>
      </c>
      <c r="H20" s="78">
        <f t="shared" si="8"/>
        <v>16429.719624970043</v>
      </c>
      <c r="I20" s="78">
        <f t="shared" si="8"/>
        <v>13159.237663275875</v>
      </c>
      <c r="J20" s="78">
        <f t="shared" si="8"/>
        <v>13159.237663275875</v>
      </c>
    </row>
    <row r="21" spans="2:10" ht="14.4" x14ac:dyDescent="0.3">
      <c r="B21" s="85" t="s">
        <v>103</v>
      </c>
      <c r="C21" s="86"/>
      <c r="D21" s="86"/>
      <c r="E21" s="86"/>
      <c r="F21" s="86"/>
      <c r="G21" s="86"/>
      <c r="H21" s="86"/>
      <c r="I21" s="86"/>
      <c r="J21" s="86"/>
    </row>
    <row r="22" spans="2:10" ht="14.4" x14ac:dyDescent="0.3">
      <c r="B22" s="87" t="s">
        <v>104</v>
      </c>
      <c r="C22" s="88">
        <f>IF(SUM(C12-C8-C10-C11)&gt;15000,(15000*13%),IF(SUM(C12-C8-C10-C11)=15000,15000*13%,IF(SUM(C12-C8-C10-C11)&lt;15000,SUM(C12-C8-C10-C11)*13%,0)))</f>
        <v>1355.5906000000002</v>
      </c>
      <c r="D22" s="88">
        <f t="shared" ref="D22:J22" si="9">IF(SUM(D12-D8-D10-D11)&gt;15000,(15000*13%),IF(SUM(D12-D8-D10-D11)=15000,15000*13%,IF(SUM(D12-D8-D10-D11)&lt;15000,SUM(D12-D8-D10-D11)*13%,0)))</f>
        <v>1229.566</v>
      </c>
      <c r="E22" s="88">
        <f t="shared" si="9"/>
        <v>1355.5906000000002</v>
      </c>
      <c r="F22" s="88">
        <f t="shared" si="9"/>
        <v>1355.5906</v>
      </c>
      <c r="G22" s="88">
        <f t="shared" si="9"/>
        <v>1229.566</v>
      </c>
      <c r="H22" s="88">
        <f t="shared" si="9"/>
        <v>1494.5411000000001</v>
      </c>
      <c r="I22" s="88">
        <f t="shared" si="9"/>
        <v>1423.3713</v>
      </c>
      <c r="J22" s="88">
        <f t="shared" si="9"/>
        <v>1423.3713</v>
      </c>
    </row>
    <row r="23" spans="2:10" ht="14.4" x14ac:dyDescent="0.3">
      <c r="B23" s="87" t="s">
        <v>105</v>
      </c>
      <c r="C23" s="88">
        <f>IF(C12&gt;21000,350,IF(C12&lt;21000,C12*3.25%))</f>
        <v>470.20432395709508</v>
      </c>
      <c r="D23" s="88">
        <f t="shared" ref="D23:J23" si="10">IF(D12&gt;21000,350,IF(D12&lt;21000,D12*3.25%))</f>
        <v>359.95544650000005</v>
      </c>
      <c r="E23" s="88">
        <f t="shared" si="10"/>
        <v>396.84914815000008</v>
      </c>
      <c r="F23" s="88">
        <f t="shared" si="10"/>
        <v>470.57294293100006</v>
      </c>
      <c r="G23" s="88">
        <f t="shared" si="10"/>
        <v>376.67293322750004</v>
      </c>
      <c r="H23" s="88">
        <f t="shared" si="10"/>
        <v>583.99458016274707</v>
      </c>
      <c r="I23" s="88">
        <f t="shared" si="10"/>
        <v>474.749484187875</v>
      </c>
      <c r="J23" s="88">
        <f t="shared" si="10"/>
        <v>474.749484187875</v>
      </c>
    </row>
    <row r="24" spans="2:10" ht="14.4" x14ac:dyDescent="0.25">
      <c r="B24" s="81" t="s">
        <v>98</v>
      </c>
      <c r="C24" s="89">
        <v>50</v>
      </c>
      <c r="D24" s="89">
        <v>50</v>
      </c>
      <c r="E24" s="89">
        <v>50</v>
      </c>
      <c r="F24" s="89">
        <v>50</v>
      </c>
      <c r="G24" s="89">
        <v>50</v>
      </c>
      <c r="H24" s="89">
        <v>50</v>
      </c>
      <c r="I24" s="89">
        <v>50</v>
      </c>
      <c r="J24" s="89">
        <v>50</v>
      </c>
    </row>
    <row r="25" spans="2:10" ht="14.4" x14ac:dyDescent="0.3">
      <c r="B25" s="87" t="s">
        <v>108</v>
      </c>
      <c r="C25" s="89">
        <f t="shared" ref="C25:J25" si="11">4.81%*C7</f>
        <v>501.56852200000003</v>
      </c>
      <c r="D25" s="89">
        <f t="shared" si="11"/>
        <v>454.93941999999998</v>
      </c>
      <c r="E25" s="89">
        <f t="shared" si="11"/>
        <v>501.56852200000003</v>
      </c>
      <c r="F25" s="89">
        <f t="shared" si="11"/>
        <v>501.56852200000003</v>
      </c>
      <c r="G25" s="89">
        <f t="shared" si="11"/>
        <v>454.93941999999998</v>
      </c>
      <c r="H25" s="89">
        <f t="shared" si="11"/>
        <v>552.98020699999995</v>
      </c>
      <c r="I25" s="89">
        <f t="shared" si="11"/>
        <v>526.647381</v>
      </c>
      <c r="J25" s="89">
        <f t="shared" si="11"/>
        <v>526.647381</v>
      </c>
    </row>
    <row r="26" spans="2:10" ht="14.4" x14ac:dyDescent="0.25">
      <c r="B26" s="81" t="s">
        <v>109</v>
      </c>
      <c r="C26" s="88">
        <v>100</v>
      </c>
      <c r="D26" s="88">
        <v>100</v>
      </c>
      <c r="E26" s="88">
        <v>100</v>
      </c>
      <c r="F26" s="88">
        <v>100</v>
      </c>
      <c r="G26" s="88">
        <v>100</v>
      </c>
      <c r="H26" s="88">
        <v>100</v>
      </c>
      <c r="I26" s="88">
        <v>100</v>
      </c>
      <c r="J26" s="88">
        <v>100</v>
      </c>
    </row>
    <row r="27" spans="2:10" ht="15" thickBot="1" x14ac:dyDescent="0.35">
      <c r="B27" s="82" t="s">
        <v>127</v>
      </c>
      <c r="C27" s="83">
        <v>250</v>
      </c>
      <c r="D27" s="83">
        <v>250</v>
      </c>
      <c r="E27" s="83">
        <v>250</v>
      </c>
      <c r="F27" s="83">
        <v>250</v>
      </c>
      <c r="G27" s="83">
        <v>250</v>
      </c>
      <c r="H27" s="83">
        <v>250</v>
      </c>
      <c r="I27" s="83">
        <v>250</v>
      </c>
      <c r="J27" s="83">
        <v>250</v>
      </c>
    </row>
    <row r="28" spans="2:10" ht="15" thickBot="1" x14ac:dyDescent="0.35">
      <c r="B28" s="77" t="s">
        <v>110</v>
      </c>
      <c r="C28" s="78">
        <f t="shared" ref="C28:J28" si="12">SUM(C22:C27)</f>
        <v>2727.3634459570953</v>
      </c>
      <c r="D28" s="78">
        <f t="shared" si="12"/>
        <v>2444.4608665000001</v>
      </c>
      <c r="E28" s="78">
        <f t="shared" si="12"/>
        <v>2654.0082701500005</v>
      </c>
      <c r="F28" s="78">
        <f t="shared" si="12"/>
        <v>2727.732064931</v>
      </c>
      <c r="G28" s="78">
        <f t="shared" si="12"/>
        <v>2461.1783532275003</v>
      </c>
      <c r="H28" s="78">
        <f t="shared" si="12"/>
        <v>3031.5158871627473</v>
      </c>
      <c r="I28" s="78">
        <f t="shared" si="12"/>
        <v>2824.7681651878747</v>
      </c>
      <c r="J28" s="78">
        <f t="shared" si="12"/>
        <v>2824.7681651878747</v>
      </c>
    </row>
    <row r="29" spans="2:10" ht="16.2" thickBot="1" x14ac:dyDescent="0.35">
      <c r="B29" s="93" t="s">
        <v>111</v>
      </c>
      <c r="C29" s="94">
        <f t="shared" ref="C29:J29" si="13">INT(C12+C28)</f>
        <v>17195</v>
      </c>
      <c r="D29" s="94">
        <f t="shared" si="13"/>
        <v>13520</v>
      </c>
      <c r="E29" s="94">
        <f t="shared" si="13"/>
        <v>14864</v>
      </c>
      <c r="F29" s="94">
        <f t="shared" si="13"/>
        <v>17206</v>
      </c>
      <c r="G29" s="94">
        <f t="shared" si="13"/>
        <v>14051</v>
      </c>
      <c r="H29" s="94">
        <f t="shared" si="13"/>
        <v>21000</v>
      </c>
      <c r="I29" s="94">
        <f t="shared" si="13"/>
        <v>17432</v>
      </c>
      <c r="J29" s="94">
        <f t="shared" si="13"/>
        <v>17432</v>
      </c>
    </row>
    <row r="30" spans="2:10" x14ac:dyDescent="0.25">
      <c r="D30" s="105"/>
    </row>
  </sheetData>
  <mergeCells count="1"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AtoA comparison</vt:lpstr>
      <vt:lpstr>Wage Breakup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Yadav</dc:creator>
  <cp:lastModifiedBy>SILA</cp:lastModifiedBy>
  <dcterms:created xsi:type="dcterms:W3CDTF">2021-02-25T12:29:24Z</dcterms:created>
  <dcterms:modified xsi:type="dcterms:W3CDTF">2021-06-04T09:11:50Z</dcterms:modified>
</cp:coreProperties>
</file>