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Customers\XpressBees\"/>
    </mc:Choice>
  </mc:AlternateContent>
  <xr:revisionPtr revIDLastSave="0" documentId="13_ncr:1_{C4230282-33F1-44E1-BAD4-49252AB0FB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ope of Work" sheetId="5" r:id="rId1"/>
    <sheet name="Cost Schedule" sheetId="4" r:id="rId2"/>
    <sheet name="Wage Breakup" sheetId="2" r:id="rId3"/>
    <sheet name="Addresses" sheetId="6" r:id="rId4"/>
  </sheets>
  <definedNames>
    <definedName name="_xlnm._FilterDatabase" localSheetId="1" hidden="1">'Cost Schedule'!$A$2:$Y$14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8" i="2" l="1"/>
  <c r="AA8" i="2"/>
  <c r="AA6" i="2"/>
  <c r="AA7" i="2" s="1"/>
  <c r="Y8" i="2"/>
  <c r="Y10" i="2"/>
  <c r="Y16" i="2"/>
  <c r="Y26" i="2"/>
  <c r="Y5" i="2"/>
  <c r="Y7" i="2" s="1"/>
  <c r="Y25" i="2" s="1"/>
  <c r="Z25" i="4"/>
  <c r="G25" i="4"/>
  <c r="AC7" i="2"/>
  <c r="L20" i="4"/>
  <c r="F22" i="6"/>
  <c r="Z22" i="4"/>
  <c r="V22" i="4"/>
  <c r="U22" i="4"/>
  <c r="Z21" i="4"/>
  <c r="V21" i="4"/>
  <c r="U21" i="4"/>
  <c r="Z20" i="4"/>
  <c r="V20" i="4"/>
  <c r="U20" i="4"/>
  <c r="Z19" i="4"/>
  <c r="V19" i="4"/>
  <c r="U19" i="4"/>
  <c r="Z18" i="4"/>
  <c r="V18" i="4"/>
  <c r="U18" i="4"/>
  <c r="Z17" i="4"/>
  <c r="V17" i="4"/>
  <c r="U17" i="4"/>
  <c r="Y12" i="2" l="1"/>
  <c r="Y24" i="2"/>
  <c r="AA25" i="2"/>
  <c r="AA10" i="2"/>
  <c r="AA12" i="2" s="1"/>
  <c r="AA24" i="2"/>
  <c r="AC25" i="2"/>
  <c r="AC10" i="2"/>
  <c r="AC12" i="2" s="1"/>
  <c r="AC24" i="2"/>
  <c r="O20" i="4"/>
  <c r="W20" i="4" s="1"/>
  <c r="X20" i="4" s="1"/>
  <c r="Y20" i="4" s="1"/>
  <c r="J6" i="2"/>
  <c r="I6" i="2"/>
  <c r="H6" i="2"/>
  <c r="AC23" i="2" l="1"/>
  <c r="AC15" i="2"/>
  <c r="AC22" i="2"/>
  <c r="AC30" i="2" s="1"/>
  <c r="AC31" i="2" s="1"/>
  <c r="AC14" i="2"/>
  <c r="AC18" i="2" s="1"/>
  <c r="AC20" i="2" s="1"/>
  <c r="Y22" i="2"/>
  <c r="Y14" i="2"/>
  <c r="Y23" i="2"/>
  <c r="Y15" i="2"/>
  <c r="AA22" i="2"/>
  <c r="AA14" i="2"/>
  <c r="AA23" i="2"/>
  <c r="AA15" i="2"/>
  <c r="Z16" i="4"/>
  <c r="V16" i="4"/>
  <c r="U16" i="4"/>
  <c r="D7" i="2"/>
  <c r="D8" i="2" s="1"/>
  <c r="L19" i="4" l="1"/>
  <c r="O19" i="4" s="1"/>
  <c r="W19" i="4" s="1"/>
  <c r="X19" i="4" s="1"/>
  <c r="Y19" i="4" s="1"/>
  <c r="L18" i="4"/>
  <c r="O18" i="4" s="1"/>
  <c r="W18" i="4" s="1"/>
  <c r="X18" i="4" s="1"/>
  <c r="Y18" i="4" s="1"/>
  <c r="AA18" i="2"/>
  <c r="AA20" i="2" s="1"/>
  <c r="AA30" i="2"/>
  <c r="AA31" i="2" s="1"/>
  <c r="L21" i="4" s="1"/>
  <c r="O21" i="4" s="1"/>
  <c r="W21" i="4" s="1"/>
  <c r="X21" i="4" s="1"/>
  <c r="Y21" i="4" s="1"/>
  <c r="Y18" i="2"/>
  <c r="Y20" i="2" s="1"/>
  <c r="Y30" i="2"/>
  <c r="Y31" i="2" s="1"/>
  <c r="D10" i="2"/>
  <c r="D24" i="2"/>
  <c r="D12" i="2"/>
  <c r="D25" i="2"/>
  <c r="L17" i="4" l="1"/>
  <c r="O17" i="4" s="1"/>
  <c r="W17" i="4" s="1"/>
  <c r="X17" i="4" s="1"/>
  <c r="L22" i="4"/>
  <c r="O22" i="4" s="1"/>
  <c r="W22" i="4" s="1"/>
  <c r="X22" i="4" s="1"/>
  <c r="Y22" i="4" s="1"/>
  <c r="D23" i="2"/>
  <c r="D15" i="2"/>
  <c r="D22" i="2"/>
  <c r="D14" i="2"/>
  <c r="Z4" i="4"/>
  <c r="Z5" i="4"/>
  <c r="Z6" i="4"/>
  <c r="Z7" i="4"/>
  <c r="Z8" i="4"/>
  <c r="Z9" i="4"/>
  <c r="Z10" i="4"/>
  <c r="Z11" i="4"/>
  <c r="Z12" i="4"/>
  <c r="Z13" i="4"/>
  <c r="Z14" i="4"/>
  <c r="Z15" i="4"/>
  <c r="Z3" i="4"/>
  <c r="W7" i="2"/>
  <c r="W8" i="2" s="1"/>
  <c r="Y17" i="4" l="1"/>
  <c r="X25" i="4"/>
  <c r="Y25" i="4" s="1"/>
  <c r="D18" i="2"/>
  <c r="D20" i="2" s="1"/>
  <c r="D30" i="2"/>
  <c r="D31" i="2" s="1"/>
  <c r="L16" i="4" s="1"/>
  <c r="O16" i="4" s="1"/>
  <c r="W16" i="4" s="1"/>
  <c r="X16" i="4" s="1"/>
  <c r="Y16" i="4" s="1"/>
  <c r="W10" i="2"/>
  <c r="W12" i="2" s="1"/>
  <c r="W24" i="2"/>
  <c r="W25" i="2"/>
  <c r="W15" i="2" l="1"/>
  <c r="W14" i="2"/>
  <c r="W23" i="2"/>
  <c r="W22" i="2"/>
  <c r="W30" i="2" l="1"/>
  <c r="W31" i="2" s="1"/>
  <c r="L7" i="4" s="1"/>
  <c r="O7" i="4" s="1"/>
  <c r="W18" i="2"/>
  <c r="W20" i="2" s="1"/>
  <c r="L8" i="4" l="1"/>
  <c r="O8" i="4" s="1"/>
  <c r="L5" i="4"/>
  <c r="O5" i="4" s="1"/>
  <c r="L3" i="4"/>
  <c r="O3" i="4" s="1"/>
  <c r="L6" i="4"/>
  <c r="O6" i="4" s="1"/>
  <c r="L4" i="4"/>
  <c r="O4" i="4" s="1"/>
  <c r="V8" i="4"/>
  <c r="V7" i="4"/>
  <c r="U7" i="4"/>
  <c r="V6" i="4"/>
  <c r="U6" i="4"/>
  <c r="V5" i="4"/>
  <c r="U5" i="4"/>
  <c r="U11" i="4"/>
  <c r="V11" i="4"/>
  <c r="W8" i="4" l="1"/>
  <c r="W6" i="4"/>
  <c r="W7" i="4"/>
  <c r="W5" i="4"/>
  <c r="V13" i="4"/>
  <c r="U13" i="4"/>
  <c r="N13" i="4"/>
  <c r="V12" i="4"/>
  <c r="U12" i="4"/>
  <c r="V9" i="4" l="1"/>
  <c r="V15" i="4"/>
  <c r="V3" i="4"/>
  <c r="V4" i="4"/>
  <c r="V10" i="4"/>
  <c r="V14" i="4"/>
  <c r="U9" i="4"/>
  <c r="U15" i="4"/>
  <c r="U3" i="4"/>
  <c r="U4" i="4"/>
  <c r="U10" i="4"/>
  <c r="U14" i="4"/>
  <c r="W3" i="4" l="1"/>
  <c r="W4" i="4"/>
  <c r="T29" i="2"/>
  <c r="T7" i="2"/>
  <c r="T10" i="2" s="1"/>
  <c r="F7" i="2"/>
  <c r="F8" i="2" s="1"/>
  <c r="U29" i="2"/>
  <c r="U7" i="2"/>
  <c r="S7" i="2"/>
  <c r="Q29" i="2"/>
  <c r="Q7" i="2"/>
  <c r="Q10" i="2" s="1"/>
  <c r="P7" i="2"/>
  <c r="P10" i="2" s="1"/>
  <c r="M16" i="2"/>
  <c r="N16" i="2" s="1"/>
  <c r="M29" i="2"/>
  <c r="N29" i="2" s="1"/>
  <c r="M26" i="2"/>
  <c r="N26" i="2" s="1"/>
  <c r="N7" i="2"/>
  <c r="N10" i="2" s="1"/>
  <c r="M7" i="2"/>
  <c r="M10" i="2" s="1"/>
  <c r="L7" i="2"/>
  <c r="L10" i="2" s="1"/>
  <c r="F10" i="2" l="1"/>
  <c r="F12" i="2"/>
  <c r="S8" i="2"/>
  <c r="S10" i="2"/>
  <c r="U10" i="2"/>
  <c r="U8" i="2"/>
  <c r="U12" i="2" s="1"/>
  <c r="L25" i="2"/>
  <c r="N25" i="2"/>
  <c r="T25" i="2"/>
  <c r="M25" i="2"/>
  <c r="M12" i="2"/>
  <c r="U25" i="2"/>
  <c r="Q24" i="2"/>
  <c r="Q25" i="2"/>
  <c r="F24" i="2"/>
  <c r="F25" i="2"/>
  <c r="S25" i="2"/>
  <c r="P8" i="2"/>
  <c r="P12" i="2" s="1"/>
  <c r="P25" i="2"/>
  <c r="T8" i="2"/>
  <c r="T24" i="2"/>
  <c r="S24" i="2"/>
  <c r="U24" i="2"/>
  <c r="Q8" i="2"/>
  <c r="Q12" i="2" s="1"/>
  <c r="P24" i="2"/>
  <c r="N24" i="2"/>
  <c r="N12" i="2"/>
  <c r="M24" i="2"/>
  <c r="L24" i="2"/>
  <c r="L12" i="2"/>
  <c r="S12" i="2" l="1"/>
  <c r="S15" i="2" s="1"/>
  <c r="T12" i="2"/>
  <c r="T23" i="2" s="1"/>
  <c r="F14" i="2"/>
  <c r="F23" i="2"/>
  <c r="F22" i="2"/>
  <c r="F15" i="2"/>
  <c r="U23" i="2"/>
  <c r="U22" i="2"/>
  <c r="U14" i="2"/>
  <c r="U15" i="2"/>
  <c r="S23" i="2"/>
  <c r="S22" i="2"/>
  <c r="S14" i="2"/>
  <c r="Q14" i="2"/>
  <c r="Q22" i="2"/>
  <c r="Q15" i="2"/>
  <c r="Q23" i="2"/>
  <c r="P23" i="2"/>
  <c r="P14" i="2"/>
  <c r="P22" i="2"/>
  <c r="P15" i="2"/>
  <c r="L23" i="2"/>
  <c r="L22" i="2"/>
  <c r="L15" i="2"/>
  <c r="L14" i="2"/>
  <c r="N23" i="2"/>
  <c r="N22" i="2"/>
  <c r="N15" i="2"/>
  <c r="N14" i="2"/>
  <c r="M23" i="2"/>
  <c r="M15" i="2"/>
  <c r="M22" i="2"/>
  <c r="M14" i="2"/>
  <c r="T14" i="2" l="1"/>
  <c r="T22" i="2"/>
  <c r="T30" i="2" s="1"/>
  <c r="T15" i="2"/>
  <c r="F18" i="2"/>
  <c r="F20" i="2" s="1"/>
  <c r="F30" i="2"/>
  <c r="S18" i="2"/>
  <c r="S20" i="2" s="1"/>
  <c r="S30" i="2"/>
  <c r="U18" i="2"/>
  <c r="U20" i="2" s="1"/>
  <c r="U30" i="2"/>
  <c r="L30" i="2"/>
  <c r="L31" i="2" s="1"/>
  <c r="P18" i="2"/>
  <c r="P20" i="2" s="1"/>
  <c r="Q30" i="2"/>
  <c r="Q31" i="2" s="1"/>
  <c r="P30" i="2"/>
  <c r="P31" i="2" s="1"/>
  <c r="Q18" i="2"/>
  <c r="Q20" i="2" s="1"/>
  <c r="L18" i="2"/>
  <c r="L20" i="2" s="1"/>
  <c r="N30" i="2"/>
  <c r="N31" i="2" s="1"/>
  <c r="M18" i="2"/>
  <c r="M20" i="2" s="1"/>
  <c r="N18" i="2"/>
  <c r="N20" i="2" s="1"/>
  <c r="M30" i="2"/>
  <c r="M31" i="2" s="1"/>
  <c r="T18" i="2" l="1"/>
  <c r="T20" i="2" s="1"/>
  <c r="L15" i="4"/>
  <c r="L11" i="4"/>
  <c r="L10" i="4"/>
  <c r="S31" i="2"/>
  <c r="N14" i="4" s="1"/>
  <c r="T31" i="2"/>
  <c r="U31" i="2"/>
  <c r="N15" i="4"/>
  <c r="F31" i="2"/>
  <c r="L13" i="4" s="1"/>
  <c r="N10" i="4"/>
  <c r="J15" i="4"/>
  <c r="O15" i="4" l="1"/>
  <c r="W15" i="4" s="1"/>
  <c r="O13" i="4"/>
  <c r="W13" i="4" s="1"/>
  <c r="O11" i="4"/>
  <c r="W11" i="4" s="1"/>
  <c r="O10" i="4"/>
  <c r="W10" i="4" s="1"/>
  <c r="L14" i="4"/>
  <c r="J14" i="4"/>
  <c r="I26" i="2"/>
  <c r="J26" i="2" s="1"/>
  <c r="I29" i="2"/>
  <c r="J29" i="2" s="1"/>
  <c r="O14" i="4" l="1"/>
  <c r="W14" i="4" s="1"/>
  <c r="X13" i="4"/>
  <c r="Y13" i="4" s="1"/>
  <c r="X11" i="4"/>
  <c r="Y11" i="4" s="1"/>
  <c r="X6" i="4"/>
  <c r="Y6" i="4" s="1"/>
  <c r="X5" i="4"/>
  <c r="Y5" i="4" s="1"/>
  <c r="X7" i="4"/>
  <c r="Y7" i="4" s="1"/>
  <c r="X15" i="4"/>
  <c r="X8" i="4" l="1"/>
  <c r="Y8" i="4" s="1"/>
  <c r="Y15" i="4"/>
  <c r="X14" i="4"/>
  <c r="Y14" i="4" s="1"/>
  <c r="X3" i="4"/>
  <c r="X4" i="4"/>
  <c r="Y4" i="4" s="1"/>
  <c r="X10" i="4"/>
  <c r="Y10" i="4" s="1"/>
  <c r="Y3" i="4" l="1"/>
  <c r="H7" i="2"/>
  <c r="H10" i="2" l="1"/>
  <c r="H8" i="2"/>
  <c r="H25" i="2"/>
  <c r="H24" i="2"/>
  <c r="J7" i="2" l="1"/>
  <c r="J10" i="2" l="1"/>
  <c r="J8" i="2"/>
  <c r="J12" i="2"/>
  <c r="J25" i="2"/>
  <c r="J24" i="2"/>
  <c r="J22" i="2" l="1"/>
  <c r="J14" i="2"/>
  <c r="J15" i="2"/>
  <c r="J23" i="2"/>
  <c r="I7" i="2"/>
  <c r="I10" i="2" l="1"/>
  <c r="I8" i="2"/>
  <c r="I25" i="2"/>
  <c r="J30" i="2"/>
  <c r="J31" i="2" s="1"/>
  <c r="J18" i="2"/>
  <c r="J20" i="2" s="1"/>
  <c r="I24" i="2"/>
  <c r="L12" i="4" l="1"/>
  <c r="L9" i="4"/>
  <c r="I12" i="2"/>
  <c r="O12" i="4" l="1"/>
  <c r="W12" i="4" s="1"/>
  <c r="O9" i="4"/>
  <c r="W9" i="4" s="1"/>
  <c r="I14" i="2"/>
  <c r="I22" i="2"/>
  <c r="I15" i="2"/>
  <c r="I23" i="2"/>
  <c r="X12" i="4" l="1"/>
  <c r="Y12" i="4" s="1"/>
  <c r="X9" i="4"/>
  <c r="I30" i="2"/>
  <c r="I31" i="2" s="1"/>
  <c r="I18" i="2"/>
  <c r="I20" i="2" s="1"/>
  <c r="Y9" i="4" l="1"/>
  <c r="H12" i="2"/>
  <c r="H22" i="2" s="1"/>
  <c r="H14" i="2" l="1"/>
  <c r="Z28" i="4"/>
  <c r="Z29" i="4" s="1"/>
  <c r="H15" i="2"/>
  <c r="H23" i="2"/>
  <c r="H30" i="2" s="1"/>
  <c r="H31" i="2" s="1"/>
  <c r="H18" i="2" l="1"/>
  <c r="H20" i="2" s="1"/>
</calcChain>
</file>

<file path=xl/sharedStrings.xml><?xml version="1.0" encoding="utf-8"?>
<sst xmlns="http://schemas.openxmlformats.org/spreadsheetml/2006/main" count="559" uniqueCount="248">
  <si>
    <t>PARTICULARS</t>
  </si>
  <si>
    <t>(A)</t>
  </si>
  <si>
    <t>Basic + D.A.</t>
  </si>
  <si>
    <t>HRA</t>
  </si>
  <si>
    <t xml:space="preserve">Ex-Gratia (8.33%) on Basic + DA </t>
  </si>
  <si>
    <t>Total Gross Salary</t>
  </si>
  <si>
    <t>(B)</t>
  </si>
  <si>
    <t>PF Contribution (12% on Gross excluding HRA)</t>
  </si>
  <si>
    <t>LWF</t>
  </si>
  <si>
    <t>NA</t>
  </si>
  <si>
    <t>ProfessionalTax</t>
  </si>
  <si>
    <t>Employees deduction</t>
  </si>
  <si>
    <t>(C)</t>
  </si>
  <si>
    <t>PF Contribution (13% on Gross excluding HRA)</t>
  </si>
  <si>
    <t>Net Charges to Company</t>
  </si>
  <si>
    <t>ESIC (.75% on total gross)</t>
  </si>
  <si>
    <t>D.A.</t>
  </si>
  <si>
    <t>Basic</t>
  </si>
  <si>
    <t>ESIC (3.25%) on Total Gross/Mediclaim</t>
  </si>
  <si>
    <t>Taxes as applicable</t>
  </si>
  <si>
    <t>Revision in rates will be deemed approved as per the Minimum Wage Notification from the date thereof</t>
  </si>
  <si>
    <t>Invoices will sent by the 3rd, verification by client by the 5th and payments to be released by the end of each month</t>
  </si>
  <si>
    <t>PPE must be provided by the client for the staff deployed at site. If required they can be purchased by SILA and billed on actuals</t>
  </si>
  <si>
    <t>Conveyance</t>
  </si>
  <si>
    <t>Additional Salary</t>
  </si>
  <si>
    <t>Skilled</t>
  </si>
  <si>
    <t>Unskilled</t>
  </si>
  <si>
    <t>Semi Skilled</t>
  </si>
  <si>
    <t>Overtime Will be billed as per the OT rates mentioned in the wage Breakup</t>
  </si>
  <si>
    <t>SILA will provide statutory documentation each month</t>
  </si>
  <si>
    <t>Manual Flipper</t>
  </si>
  <si>
    <t>Terms and Conditions</t>
  </si>
  <si>
    <t xml:space="preserve">Uniforms costs are included, however customized uniforms can be provided at actual cost. </t>
  </si>
  <si>
    <t>Pantry Boy</t>
  </si>
  <si>
    <t>Housekeeping Supervisor</t>
  </si>
  <si>
    <t>Housekeeping Staff</t>
  </si>
  <si>
    <t>Admin, Documentation, Background Verification</t>
  </si>
  <si>
    <t>Uniforms &amp; PPE</t>
  </si>
  <si>
    <t>Net Salary (A-B+Leave Salary)</t>
  </si>
  <si>
    <t>Manpower</t>
  </si>
  <si>
    <t>Work on Statutory Holidays will be billed 3x as per norms - 26th January, 15th August, 2nd October</t>
  </si>
  <si>
    <t xml:space="preserve">Total CTC </t>
  </si>
  <si>
    <t>Sr. No</t>
  </si>
  <si>
    <t>Region</t>
  </si>
  <si>
    <t>State</t>
  </si>
  <si>
    <t>City</t>
  </si>
  <si>
    <t>Location Name</t>
  </si>
  <si>
    <t>Status</t>
  </si>
  <si>
    <t>Sq.Ft.</t>
  </si>
  <si>
    <t>North</t>
  </si>
  <si>
    <t>Running</t>
  </si>
  <si>
    <t>Haryana</t>
  </si>
  <si>
    <t>Kurushetra</t>
  </si>
  <si>
    <t>Ambala/HUB</t>
  </si>
  <si>
    <t>East</t>
  </si>
  <si>
    <t>South II</t>
  </si>
  <si>
    <t>Karnataka</t>
  </si>
  <si>
    <t>Bangalore</t>
  </si>
  <si>
    <t>West Bengal</t>
  </si>
  <si>
    <t>Kolkata</t>
  </si>
  <si>
    <t>CCU/CHM-WH</t>
  </si>
  <si>
    <t>CCU/HUB</t>
  </si>
  <si>
    <t>South I</t>
  </si>
  <si>
    <t>Rajasthan</t>
  </si>
  <si>
    <t>Jaipur</t>
  </si>
  <si>
    <t>JAI/HUB(VKI)</t>
  </si>
  <si>
    <t>Tamil Nadu</t>
  </si>
  <si>
    <t>Chennai</t>
  </si>
  <si>
    <t>MAA/HUB+TSP</t>
  </si>
  <si>
    <t># HK Staff</t>
  </si>
  <si>
    <t># HK Supervisor</t>
  </si>
  <si>
    <t>HK Chemicals &amp; Consumables</t>
  </si>
  <si>
    <t>Vacuum Cleaner</t>
  </si>
  <si>
    <t>Single Disc Scrubber</t>
  </si>
  <si>
    <t>Machinery</t>
  </si>
  <si>
    <t>Total Cost</t>
  </si>
  <si>
    <t>Total Machinery Cost</t>
  </si>
  <si>
    <t>Manpower Cost</t>
  </si>
  <si>
    <t>HK Supervisor Cost</t>
  </si>
  <si>
    <t>HK Staff Cost</t>
  </si>
  <si>
    <t>Pantry Boy Cost</t>
  </si>
  <si>
    <t>-</t>
  </si>
  <si>
    <t>Leave Salary</t>
  </si>
  <si>
    <t>Per sq ft rate</t>
  </si>
  <si>
    <t>Rajasthan (01.05.2019)</t>
  </si>
  <si>
    <t>Gratuity Cost</t>
  </si>
  <si>
    <t>Duty would be 8+1 Hours for 26 days a month</t>
  </si>
  <si>
    <t>With locations without MST, on call electrician or plumber can be arranged on actual charges + Management Fees</t>
  </si>
  <si>
    <t>Scooty Mop</t>
  </si>
  <si>
    <t>Auto Scrubber</t>
  </si>
  <si>
    <t>MST Tools</t>
  </si>
  <si>
    <t>Daily</t>
  </si>
  <si>
    <t>Activity</t>
  </si>
  <si>
    <t>Frequency</t>
  </si>
  <si>
    <t>Panipat</t>
  </si>
  <si>
    <t>Lucknow</t>
  </si>
  <si>
    <t>Uttar Pradesh</t>
  </si>
  <si>
    <t>SL</t>
  </si>
  <si>
    <t>Type</t>
  </si>
  <si>
    <t>Minimum Standards</t>
  </si>
  <si>
    <t>Check all equipment</t>
  </si>
  <si>
    <t>Warehouse Interiors</t>
  </si>
  <si>
    <t>All equipments related to housekeeping must be operational</t>
  </si>
  <si>
    <t>Cleaning loading docks</t>
  </si>
  <si>
    <t>Exteriors</t>
  </si>
  <si>
    <t>Cleaned well, must be Dry and dust free</t>
  </si>
  <si>
    <t>Clear doorway areas</t>
  </si>
  <si>
    <t>Empty trash</t>
  </si>
  <si>
    <t>Empty trash cans</t>
  </si>
  <si>
    <t>Manage waste disposal  service for the site, including, waste disposal from office areas</t>
  </si>
  <si>
    <t>To be stored in designated waste areas. Area to be Cleaned well, must be Dry and dust free</t>
  </si>
  <si>
    <t>Mother bags recycling and reusing process. Daily target 300 bags per person</t>
  </si>
  <si>
    <t xml:space="preserve">Proper process must be followed. </t>
  </si>
  <si>
    <t>Refill the soap dispensers</t>
  </si>
  <si>
    <t>Washrooms</t>
  </si>
  <si>
    <t>No shortfall at any given time</t>
  </si>
  <si>
    <t>Sanitize grab bars, sinks, counters, toilets, etc.</t>
  </si>
  <si>
    <t>Sanitize touch points</t>
  </si>
  <si>
    <t>Offices</t>
  </si>
  <si>
    <t>Straighten workspaces</t>
  </si>
  <si>
    <t>Sweep floors</t>
  </si>
  <si>
    <t>Sweep walkways, steps, and landings</t>
  </si>
  <si>
    <t>Vacuum/sweep and mop floors</t>
  </si>
  <si>
    <t>Wipe down all counters</t>
  </si>
  <si>
    <t>Check for burned-out lights</t>
  </si>
  <si>
    <t>Every Monday</t>
  </si>
  <si>
    <t>Clean hard-to-reach areas</t>
  </si>
  <si>
    <t>Confirm the operating condition of the HK equipment</t>
  </si>
  <si>
    <t>Every Tuesday</t>
  </si>
  <si>
    <t>Confirm the operation of security lights</t>
  </si>
  <si>
    <t>Every Wednesday</t>
  </si>
  <si>
    <t>Dust light fixtures, overhead lights, and fans</t>
  </si>
  <si>
    <t>Polish doorway and window hardware and glass</t>
  </si>
  <si>
    <t>Every Thursday</t>
  </si>
  <si>
    <t>Polish light fixtures</t>
  </si>
  <si>
    <t>Polish window, door frames, and hardware</t>
  </si>
  <si>
    <t>Reorganize pallets</t>
  </si>
  <si>
    <t>Every Friday</t>
  </si>
  <si>
    <t>Organize as per the hub layout</t>
  </si>
  <si>
    <t>Restock cabinets with supplies</t>
  </si>
  <si>
    <t>Sanitize &amp; polish stall partitions and doors</t>
  </si>
  <si>
    <t>Straighten storage rooms</t>
  </si>
  <si>
    <t>Every Saturday</t>
  </si>
  <si>
    <t>Wipe down window blinds, and wall partitions</t>
  </si>
  <si>
    <t>Clear all smudges and cobwebs from walls, ceiling, windows and doors</t>
  </si>
  <si>
    <t>Every 1st and 16th day of the month</t>
  </si>
  <si>
    <t>Must be cleaned to ensure zero (0) smudges and cobwebs</t>
  </si>
  <si>
    <t>Check and fix clogs in sink and floor drains</t>
  </si>
  <si>
    <t>Every 4th Sunday of the month</t>
  </si>
  <si>
    <t>Check entryway mats for wear</t>
  </si>
  <si>
    <t>Clean carpets</t>
  </si>
  <si>
    <t xml:space="preserve">Clean furniture </t>
  </si>
  <si>
    <t>Clean on and under units</t>
  </si>
  <si>
    <t>Clean out the pantry equipment's</t>
  </si>
  <si>
    <t>Deep clean and inspect floor coatings</t>
  </si>
  <si>
    <t>Inspect weather-stripping around doors</t>
  </si>
  <si>
    <t>Must be intact</t>
  </si>
  <si>
    <t>Power wash walkways, steps, landings, and loading docks</t>
  </si>
  <si>
    <t>Every 3rd Sunday of the month</t>
  </si>
  <si>
    <t>Test fire alarms and sprinkler systems</t>
  </si>
  <si>
    <t>Every 2nd Sunday of the month</t>
  </si>
  <si>
    <t>All equipments must be operational</t>
  </si>
  <si>
    <t>PCK/JA1</t>
  </si>
  <si>
    <t>CCU/IB2</t>
  </si>
  <si>
    <t>CCU/HUB-TSP</t>
  </si>
  <si>
    <t>CCU/IB1</t>
  </si>
  <si>
    <t>CCU/RO</t>
  </si>
  <si>
    <t>Billing Rate 
@ Rs. 3.25/sq ft</t>
  </si>
  <si>
    <t>Gross Margin</t>
  </si>
  <si>
    <t>Gross Margin %</t>
  </si>
  <si>
    <t>Kalkunte/WH</t>
  </si>
  <si>
    <t>Sl. No.</t>
  </si>
  <si>
    <t>Name of the Location</t>
  </si>
  <si>
    <t>Area (Sq ft)</t>
  </si>
  <si>
    <t>Regional Admin contact details</t>
  </si>
  <si>
    <t>Manager</t>
  </si>
  <si>
    <t>South</t>
  </si>
  <si>
    <t>Survey No.26, Kalkunte Agrahara Village, Anugondanahalli Hobli, Bengaluru rural district - 560067</t>
  </si>
  <si>
    <t>Vinod, 7899755329</t>
  </si>
  <si>
    <t>Dhanesh</t>
  </si>
  <si>
    <t>TN</t>
  </si>
  <si>
    <t>SF No.266/2C, Chokkanallur, Vayalanallur post, Behind Bharat Petrolium Bunk, Pattabiram, Chennai, Tamilnadu-600072</t>
  </si>
  <si>
    <t>Sridharan, 7871875568</t>
  </si>
  <si>
    <t>EAST</t>
  </si>
  <si>
    <t>West Bangal</t>
  </si>
  <si>
    <t>Sriram Warehouseing , Mouza Chamrail , NH 6 Bombay Road, P.S : Liluah, Howrah</t>
  </si>
  <si>
    <t>Pijush Mandal-8767801589</t>
  </si>
  <si>
    <t>Ajay Chowdhary</t>
  </si>
  <si>
    <t>Sanjay Projects , Mouza Chamrail , NH 6 Bombay Road, P.S : Liluah, Howrah</t>
  </si>
  <si>
    <t>RNR Processor Pvt Ltd.NH-6, Bombay Road, Pakuria, Howrah, West Bengal-711114</t>
  </si>
  <si>
    <t>Biparnapara,R.S.Dag No.2648 &amp; LR Dag No.2530,J.L.No.27,P.S. Domjur, Howrah, West Bengal- 711411</t>
  </si>
  <si>
    <t>Axoze Infratech Limited, Dhapa, Durgapur Van Stand, PS- Tiljala, Kolkata, West Bengal-700105 (Big basket Warehouse Compound ).</t>
  </si>
  <si>
    <t> 3A ,Ram Mohan Mullick Garden Lane,Ravika Building , 3rd Floor,  Unit 8 , Kolkata -700010</t>
  </si>
  <si>
    <t>NORTH</t>
  </si>
  <si>
    <t>Kurukshetra</t>
  </si>
  <si>
    <t>Gati Kintetsu Express Pvt Limited, Village-Kaliala, Saha -Kalaamb Road, Near Radha Swami Satsang, Tahseel-Sahabad, Dist -Kurukshetra, Pin-code-136135</t>
  </si>
  <si>
    <t>Pushpandra -9175892302</t>
  </si>
  <si>
    <t>Ravi Jha</t>
  </si>
  <si>
    <t>JAIPUR</t>
  </si>
  <si>
    <t>JAI/HUB</t>
  </si>
  <si>
    <t>Sp 818(3 &amp; 4) , Road No. 14, VKI , Jaipur Rajasthan 302013</t>
  </si>
  <si>
    <t>Ajay Chaudhary-8956375889</t>
  </si>
  <si>
    <t>PANIPAT</t>
  </si>
  <si>
    <t>Inside Ashu Scining Mill,Paffina kalan, Shiva, GT Road, Panipat-32103</t>
  </si>
  <si>
    <t>Rakesh Pundhir- 8053701522</t>
  </si>
  <si>
    <t>UP</t>
  </si>
  <si>
    <t>LUCKNOW</t>
  </si>
  <si>
    <t>Khasra No-42, Daroga Kheda, Sarojininagar, Kanpur Road, Miranpur, Bijnaur, Lucknow</t>
  </si>
  <si>
    <t>Pushpendu Bhattacharya-9810558963</t>
  </si>
  <si>
    <t>C-49 &amp; 48-A, Kirti Sagar, Block C, Gram Manyawas, Tehsil Sanganer, Jaipur 302020</t>
  </si>
  <si>
    <t>Total Sq.ft</t>
  </si>
  <si>
    <t>Shipping Address</t>
  </si>
  <si>
    <t>Start Date</t>
  </si>
  <si>
    <t>Kanpur</t>
  </si>
  <si>
    <t>PCK/KNP</t>
  </si>
  <si>
    <t>Plot - 5, Ispat Nagar, Panki, kanur, Uttar Pradesh, 208021</t>
  </si>
  <si>
    <t>Kanpur (Uttar Pradesh)
(01.04.2021)</t>
  </si>
  <si>
    <t>Lucknow (Uttar Pradesh
)(01.04.2021)</t>
  </si>
  <si>
    <t>Haryana (01.01.2021)</t>
  </si>
  <si>
    <t>Tamil Nadu (01.04.2021)</t>
  </si>
  <si>
    <t>West Bengal 
(01.07.2021</t>
  </si>
  <si>
    <t>Karnataka (01.04.2021)</t>
  </si>
  <si>
    <t>Odisha</t>
  </si>
  <si>
    <t>Bhubaneswar</t>
  </si>
  <si>
    <t>BBN/HUB</t>
  </si>
  <si>
    <t>MW Revision</t>
  </si>
  <si>
    <t>New Site</t>
  </si>
  <si>
    <t>Jharkhand</t>
  </si>
  <si>
    <t>Jamshedpur</t>
  </si>
  <si>
    <t>Ranchi</t>
  </si>
  <si>
    <t>JMD/HUB</t>
  </si>
  <si>
    <t>RAN/HUB</t>
  </si>
  <si>
    <t>SLG/HUB</t>
  </si>
  <si>
    <t>PAT/HUB</t>
  </si>
  <si>
    <t>BBN/HUB (Ecom-New)</t>
  </si>
  <si>
    <t>Jalpaiguri</t>
  </si>
  <si>
    <t>Bihar</t>
  </si>
  <si>
    <t>Patna</t>
  </si>
  <si>
    <t>Yet to start</t>
  </si>
  <si>
    <t>Jharkhand (01.04.2021)</t>
  </si>
  <si>
    <t>Bihar (01.04.22021)</t>
  </si>
  <si>
    <t>Odisha (01.04.2021)</t>
  </si>
  <si>
    <t>Plot No: 171/2502,Korandakanta,Puri-Bypass Road, Bhubaneswar, Odisha-752101</t>
  </si>
  <si>
    <t>79,Dimma basti,near DVC,national highway-33,PO-MGM,Jamshedpur-1012</t>
  </si>
  <si>
    <t>LG Campus Mahilog Purulia Road Tatisiwai Ranchi Jharkhand 835103</t>
  </si>
  <si>
    <t>Nawapara, Beside Das Petrol Pump, PO- Sahudangi Hat, Jalpaiguri, West Bengal-735135</t>
  </si>
  <si>
    <t>Allhibag, Near Usha Warehouse, Patna-Gaya Hihgway, Patna, Bihar-800007</t>
  </si>
  <si>
    <t>Plot no -131 Koradakanta-Puri Bypass,   PS- Saheed nagar P.O - Budheswari , Near Granite world  pandara Rasulgarh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</si>
</sst>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 * #,##0_ ;_ * \-#,##0_ ;_ * &quot;-&quot;??_ ;_ @_ "/>
    <numFmt numFmtId="167" formatCode="_(* #,##0_);_(* \(#,##0\);_(* &quot;-&quot;??_);_(@_)"/>
  </numFmts>
  <fonts count="18">
    <font>
      <sz val="11"/>
      <name val="Calibri"/>
    </font>
    <font>
      <b/>
      <sz val="12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i/>
      <u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9"/>
      <color rgb="FF181717"/>
      <name val="Calibri"/>
      <family val="2"/>
    </font>
    <font>
      <sz val="10"/>
      <color rgb="FF181717"/>
      <name val="Calibri"/>
      <family val="2"/>
    </font>
    <font>
      <sz val="10"/>
      <color rgb="FF0D0D0D"/>
      <name val="Calibri"/>
      <family val="2"/>
    </font>
    <font>
      <b/>
      <sz val="10"/>
      <color rgb="FF181717"/>
      <name val="Calibri"/>
      <family val="2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10"/>
      <color rgb="FFFFFFFF"/>
      <name val="Calibri"/>
      <family val="2"/>
    </font>
    <font>
      <sz val="10"/>
      <color rgb="FF222222"/>
      <name val="Calibri"/>
      <family val="2"/>
    </font>
    <font>
      <b/>
      <sz val="10"/>
      <color rgb="FF22222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164" fontId="2" fillId="0" borderId="0">
      <alignment vertical="top"/>
      <protection locked="0"/>
    </xf>
    <xf numFmtId="165" fontId="5" fillId="0" borderId="0" applyFont="0" applyFill="0" applyBorder="0" applyAlignment="0" applyProtection="0"/>
    <xf numFmtId="0" fontId="6" fillId="0" borderId="0"/>
    <xf numFmtId="9" fontId="5" fillId="0" borderId="0" applyFont="0" applyFill="0" applyBorder="0" applyAlignment="0" applyProtection="0"/>
  </cellStyleXfs>
  <cellXfs count="3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7" fillId="0" borderId="0" xfId="3" applyNumberFormat="1" applyFont="1" applyFill="1" applyBorder="1" applyAlignment="1">
      <alignment vertical="center"/>
    </xf>
    <xf numFmtId="164" fontId="3" fillId="0" borderId="6" xfId="1" applyFont="1" applyBorder="1" applyAlignment="1" applyProtection="1">
      <alignment horizontal="center" vertical="center" wrapText="1"/>
    </xf>
    <xf numFmtId="164" fontId="3" fillId="0" borderId="8" xfId="1" applyFont="1" applyBorder="1" applyAlignment="1" applyProtection="1">
      <alignment horizontal="center" vertical="center" wrapText="1"/>
    </xf>
    <xf numFmtId="164" fontId="3" fillId="0" borderId="16" xfId="1" applyFont="1" applyBorder="1" applyAlignment="1" applyProtection="1">
      <alignment horizontal="center" vertical="center" wrapText="1"/>
    </xf>
    <xf numFmtId="164" fontId="3" fillId="0" borderId="17" xfId="1" applyFont="1" applyBorder="1" applyAlignment="1" applyProtection="1">
      <alignment horizontal="center" vertical="center" wrapText="1"/>
    </xf>
    <xf numFmtId="0" fontId="8" fillId="0" borderId="0" xfId="0" applyFont="1" applyAlignment="1">
      <alignment vertical="center"/>
    </xf>
    <xf numFmtId="167" fontId="4" fillId="0" borderId="18" xfId="2" applyNumberFormat="1" applyFont="1" applyBorder="1" applyAlignment="1" applyProtection="1">
      <alignment horizontal="center" vertical="center"/>
    </xf>
    <xf numFmtId="167" fontId="4" fillId="0" borderId="19" xfId="2" applyNumberFormat="1" applyFont="1" applyBorder="1" applyAlignment="1" applyProtection="1">
      <alignment horizontal="center" vertical="center"/>
    </xf>
    <xf numFmtId="167" fontId="3" fillId="0" borderId="16" xfId="2" applyNumberFormat="1" applyFont="1" applyBorder="1" applyAlignment="1" applyProtection="1">
      <alignment horizontal="center" vertical="center"/>
    </xf>
    <xf numFmtId="167" fontId="4" fillId="0" borderId="21" xfId="2" applyNumberFormat="1" applyFont="1" applyBorder="1" applyAlignment="1" applyProtection="1">
      <alignment horizontal="center" vertical="center"/>
    </xf>
    <xf numFmtId="167" fontId="4" fillId="0" borderId="28" xfId="2" applyNumberFormat="1" applyFont="1" applyBorder="1" applyAlignment="1" applyProtection="1">
      <alignment horizontal="center" vertical="center"/>
    </xf>
    <xf numFmtId="167" fontId="4" fillId="0" borderId="17" xfId="2" applyNumberFormat="1" applyFont="1" applyBorder="1" applyAlignment="1" applyProtection="1">
      <alignment horizontal="center" vertical="center"/>
    </xf>
    <xf numFmtId="167" fontId="3" fillId="0" borderId="20" xfId="2" applyNumberFormat="1" applyFont="1" applyBorder="1" applyAlignment="1" applyProtection="1">
      <alignment horizontal="center" vertical="center"/>
    </xf>
    <xf numFmtId="167" fontId="4" fillId="0" borderId="21" xfId="2" applyNumberFormat="1" applyFont="1" applyBorder="1" applyAlignment="1" applyProtection="1">
      <alignment horizontal="right" vertical="center"/>
    </xf>
    <xf numFmtId="167" fontId="4" fillId="0" borderId="22" xfId="2" applyNumberFormat="1" applyFont="1" applyBorder="1" applyAlignment="1" applyProtection="1">
      <alignment horizontal="right" vertical="center"/>
    </xf>
    <xf numFmtId="167" fontId="3" fillId="0" borderId="19" xfId="2" applyNumberFormat="1" applyFont="1" applyBorder="1" applyAlignment="1" applyProtection="1">
      <alignment horizontal="center" vertical="center"/>
    </xf>
    <xf numFmtId="167" fontId="3" fillId="0" borderId="18" xfId="2" applyNumberFormat="1" applyFont="1" applyBorder="1" applyAlignment="1" applyProtection="1">
      <alignment horizontal="center" vertical="center"/>
    </xf>
    <xf numFmtId="167" fontId="4" fillId="0" borderId="22" xfId="2" applyNumberFormat="1" applyFont="1" applyBorder="1" applyAlignment="1" applyProtection="1">
      <alignment horizontal="center" vertical="center"/>
    </xf>
    <xf numFmtId="167" fontId="1" fillId="2" borderId="13" xfId="2" applyNumberFormat="1" applyFont="1" applyFill="1" applyBorder="1" applyAlignment="1" applyProtection="1">
      <alignment horizontal="center" vertical="center"/>
    </xf>
    <xf numFmtId="167" fontId="1" fillId="2" borderId="19" xfId="2" applyNumberFormat="1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49" fontId="10" fillId="4" borderId="1" xfId="0" applyNumberFormat="1" applyFont="1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center"/>
    </xf>
    <xf numFmtId="1" fontId="9" fillId="3" borderId="1" xfId="0" applyNumberFormat="1" applyFont="1" applyFill="1" applyBorder="1" applyAlignment="1">
      <alignment horizontal="center" vertical="center" wrapText="1"/>
    </xf>
    <xf numFmtId="1" fontId="10" fillId="0" borderId="1" xfId="2" applyNumberFormat="1" applyFont="1" applyFill="1" applyBorder="1" applyAlignment="1" applyProtection="1">
      <alignment horizontal="center" vertical="center"/>
    </xf>
    <xf numFmtId="164" fontId="3" fillId="2" borderId="5" xfId="1" applyFont="1" applyFill="1" applyBorder="1" applyAlignment="1" applyProtection="1">
      <alignment vertical="center" wrapText="1"/>
    </xf>
    <xf numFmtId="164" fontId="3" fillId="0" borderId="32" xfId="1" applyFont="1" applyBorder="1" applyAlignment="1" applyProtection="1">
      <alignment horizontal="center" vertical="center" wrapText="1"/>
    </xf>
    <xf numFmtId="164" fontId="3" fillId="0" borderId="5" xfId="1" applyFont="1" applyBorder="1" applyAlignment="1" applyProtection="1">
      <alignment horizontal="center" vertical="center" wrapText="1"/>
    </xf>
    <xf numFmtId="164" fontId="0" fillId="0" borderId="33" xfId="1" applyFont="1" applyBorder="1" applyAlignment="1" applyProtection="1">
      <alignment horizontal="center"/>
    </xf>
    <xf numFmtId="164" fontId="0" fillId="0" borderId="34" xfId="1" applyFont="1" applyBorder="1" applyAlignment="1" applyProtection="1">
      <alignment horizontal="center"/>
    </xf>
    <xf numFmtId="164" fontId="3" fillId="0" borderId="32" xfId="1" applyFont="1" applyBorder="1" applyAlignment="1" applyProtection="1">
      <alignment horizontal="center"/>
    </xf>
    <xf numFmtId="164" fontId="4" fillId="0" borderId="35" xfId="1" applyFont="1" applyBorder="1" applyAlignment="1" applyProtection="1">
      <alignment horizontal="center" vertical="center" wrapText="1"/>
    </xf>
    <xf numFmtId="164" fontId="4" fillId="0" borderId="36" xfId="1" applyFont="1" applyBorder="1" applyAlignment="1" applyProtection="1">
      <alignment horizontal="center"/>
    </xf>
    <xf numFmtId="164" fontId="4" fillId="0" borderId="37" xfId="1" applyFont="1" applyBorder="1" applyAlignment="1" applyProtection="1">
      <alignment horizontal="center"/>
    </xf>
    <xf numFmtId="164" fontId="3" fillId="0" borderId="5" xfId="1" applyFont="1" applyBorder="1" applyAlignment="1" applyProtection="1">
      <alignment horizontal="center"/>
    </xf>
    <xf numFmtId="164" fontId="3" fillId="0" borderId="35" xfId="1" applyFont="1" applyBorder="1" applyAlignment="1" applyProtection="1">
      <alignment horizontal="center"/>
    </xf>
    <xf numFmtId="164" fontId="4" fillId="0" borderId="38" xfId="1" applyFont="1" applyBorder="1" applyAlignment="1" applyProtection="1">
      <alignment horizontal="center"/>
    </xf>
    <xf numFmtId="164" fontId="3" fillId="0" borderId="34" xfId="1" applyFont="1" applyBorder="1" applyAlignment="1" applyProtection="1">
      <alignment horizontal="center"/>
    </xf>
    <xf numFmtId="164" fontId="3" fillId="0" borderId="33" xfId="1" applyFont="1" applyBorder="1" applyAlignment="1" applyProtection="1">
      <alignment horizontal="center"/>
    </xf>
    <xf numFmtId="164" fontId="0" fillId="0" borderId="36" xfId="1" applyFont="1" applyBorder="1" applyAlignment="1" applyProtection="1">
      <alignment horizontal="center"/>
    </xf>
    <xf numFmtId="164" fontId="1" fillId="2" borderId="34" xfId="1" applyFont="1" applyFill="1" applyBorder="1" applyAlignment="1" applyProtection="1">
      <alignment horizontal="center"/>
    </xf>
    <xf numFmtId="167" fontId="4" fillId="0" borderId="11" xfId="2" applyNumberFormat="1" applyFont="1" applyBorder="1" applyAlignment="1" applyProtection="1">
      <alignment horizontal="center" vertical="center"/>
    </xf>
    <xf numFmtId="167" fontId="4" fillId="0" borderId="12" xfId="2" applyNumberFormat="1" applyFont="1" applyBorder="1" applyAlignment="1" applyProtection="1">
      <alignment horizontal="center" vertical="center"/>
    </xf>
    <xf numFmtId="167" fontId="3" fillId="0" borderId="6" xfId="2" applyNumberFormat="1" applyFont="1" applyBorder="1" applyAlignment="1" applyProtection="1">
      <alignment horizontal="center" vertical="center"/>
    </xf>
    <xf numFmtId="167" fontId="4" fillId="0" borderId="4" xfId="2" applyNumberFormat="1" applyFont="1" applyBorder="1" applyAlignment="1" applyProtection="1">
      <alignment horizontal="center" vertical="center"/>
    </xf>
    <xf numFmtId="167" fontId="4" fillId="0" borderId="26" xfId="2" applyNumberFormat="1" applyFont="1" applyBorder="1" applyAlignment="1" applyProtection="1">
      <alignment horizontal="center" vertical="center"/>
    </xf>
    <xf numFmtId="167" fontId="4" fillId="0" borderId="8" xfId="2" applyNumberFormat="1" applyFont="1" applyBorder="1" applyAlignment="1" applyProtection="1">
      <alignment horizontal="center" vertical="center"/>
    </xf>
    <xf numFmtId="167" fontId="3" fillId="0" borderId="14" xfId="2" applyNumberFormat="1" applyFont="1" applyBorder="1" applyAlignment="1" applyProtection="1">
      <alignment horizontal="center" vertical="center"/>
    </xf>
    <xf numFmtId="167" fontId="4" fillId="0" borderId="39" xfId="2" applyNumberFormat="1" applyFont="1" applyBorder="1" applyAlignment="1" applyProtection="1">
      <alignment horizontal="center" vertical="center"/>
    </xf>
    <xf numFmtId="167" fontId="4" fillId="0" borderId="4" xfId="2" applyNumberFormat="1" applyFont="1" applyBorder="1" applyAlignment="1" applyProtection="1">
      <alignment horizontal="right" vertical="center"/>
    </xf>
    <xf numFmtId="167" fontId="4" fillId="0" borderId="2" xfId="2" applyNumberFormat="1" applyFont="1" applyBorder="1" applyAlignment="1" applyProtection="1">
      <alignment horizontal="right" vertical="center"/>
    </xf>
    <xf numFmtId="167" fontId="3" fillId="0" borderId="12" xfId="2" applyNumberFormat="1" applyFont="1" applyBorder="1" applyAlignment="1" applyProtection="1">
      <alignment horizontal="center" vertical="center"/>
    </xf>
    <xf numFmtId="167" fontId="3" fillId="0" borderId="11" xfId="2" applyNumberFormat="1" applyFont="1" applyBorder="1" applyAlignment="1" applyProtection="1">
      <alignment horizontal="center" vertical="center"/>
    </xf>
    <xf numFmtId="167" fontId="4" fillId="0" borderId="2" xfId="2" applyNumberFormat="1" applyFont="1" applyBorder="1" applyAlignment="1" applyProtection="1">
      <alignment horizontal="center" vertical="center"/>
    </xf>
    <xf numFmtId="167" fontId="1" fillId="2" borderId="12" xfId="2" applyNumberFormat="1" applyFont="1" applyFill="1" applyBorder="1" applyAlignment="1" applyProtection="1">
      <alignment horizontal="center" vertical="center"/>
    </xf>
    <xf numFmtId="166" fontId="4" fillId="0" borderId="20" xfId="2" applyNumberFormat="1" applyFont="1" applyBorder="1" applyAlignment="1" applyProtection="1">
      <alignment horizontal="center" vertical="center" wrapText="1"/>
    </xf>
    <xf numFmtId="166" fontId="4" fillId="0" borderId="14" xfId="2" applyNumberFormat="1" applyFont="1" applyBorder="1" applyAlignment="1" applyProtection="1">
      <alignment horizontal="center" vertical="center" wrapText="1"/>
    </xf>
    <xf numFmtId="0" fontId="4" fillId="0" borderId="0" xfId="0" applyFont="1">
      <alignment vertical="center"/>
    </xf>
    <xf numFmtId="164" fontId="3" fillId="2" borderId="31" xfId="1" applyFont="1" applyFill="1" applyBorder="1" applyAlignment="1" applyProtection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67" fontId="9" fillId="3" borderId="1" xfId="2" applyNumberFormat="1" applyFont="1" applyFill="1" applyBorder="1" applyAlignment="1">
      <alignment horizontal="center" vertical="center" wrapText="1"/>
    </xf>
    <xf numFmtId="167" fontId="12" fillId="0" borderId="1" xfId="2" applyNumberFormat="1" applyFont="1" applyFill="1" applyBorder="1" applyAlignment="1" applyProtection="1">
      <alignment horizontal="center" vertical="center"/>
    </xf>
    <xf numFmtId="167" fontId="3" fillId="0" borderId="0" xfId="2" applyNumberFormat="1" applyFont="1" applyAlignment="1">
      <alignment horizontal="center" vertical="center"/>
    </xf>
    <xf numFmtId="165" fontId="9" fillId="3" borderId="1" xfId="2" applyNumberFormat="1" applyFont="1" applyFill="1" applyBorder="1" applyAlignment="1">
      <alignment horizontal="center" vertical="center" wrapText="1"/>
    </xf>
    <xf numFmtId="165" fontId="12" fillId="0" borderId="1" xfId="2" applyNumberFormat="1" applyFont="1" applyFill="1" applyBorder="1" applyAlignment="1" applyProtection="1">
      <alignment horizontal="center" vertical="center"/>
    </xf>
    <xf numFmtId="165" fontId="3" fillId="0" borderId="0" xfId="2" applyNumberFormat="1" applyFont="1" applyAlignment="1">
      <alignment horizontal="center" vertical="center"/>
    </xf>
    <xf numFmtId="167" fontId="10" fillId="0" borderId="1" xfId="2" applyNumberFormat="1" applyFont="1" applyFill="1" applyBorder="1" applyAlignment="1" applyProtection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167" fontId="9" fillId="3" borderId="1" xfId="0" applyNumberFormat="1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4" fontId="0" fillId="0" borderId="37" xfId="1" applyFont="1" applyBorder="1" applyAlignment="1" applyProtection="1">
      <alignment horizontal="center"/>
    </xf>
    <xf numFmtId="167" fontId="4" fillId="0" borderId="26" xfId="2" applyNumberFormat="1" applyFont="1" applyBorder="1" applyAlignment="1" applyProtection="1">
      <alignment horizontal="right" vertical="center"/>
    </xf>
    <xf numFmtId="167" fontId="4" fillId="0" borderId="28" xfId="2" applyNumberFormat="1" applyFont="1" applyBorder="1" applyAlignment="1" applyProtection="1">
      <alignment horizontal="right" vertical="center"/>
    </xf>
    <xf numFmtId="49" fontId="11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0" applyFont="1" applyBorder="1" applyAlignment="1" applyProtection="1">
      <alignment vertical="top" wrapText="1"/>
    </xf>
    <xf numFmtId="0" fontId="14" fillId="0" borderId="1" xfId="0" applyFont="1" applyFill="1" applyBorder="1" applyAlignment="1" applyProtection="1">
      <alignment vertical="top" wrapText="1"/>
    </xf>
    <xf numFmtId="0" fontId="13" fillId="2" borderId="1" xfId="0" applyFont="1" applyFill="1" applyBorder="1" applyAlignment="1" applyProtection="1">
      <alignment horizontal="center" vertical="top" wrapText="1"/>
    </xf>
    <xf numFmtId="10" fontId="3" fillId="0" borderId="0" xfId="4" applyNumberFormat="1" applyFont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top"/>
    </xf>
    <xf numFmtId="166" fontId="4" fillId="0" borderId="26" xfId="2" applyNumberFormat="1" applyFont="1" applyBorder="1" applyAlignment="1" applyProtection="1">
      <alignment horizontal="center" vertical="center"/>
    </xf>
    <xf numFmtId="166" fontId="4" fillId="0" borderId="28" xfId="2" applyNumberFormat="1" applyFont="1" applyBorder="1" applyAlignment="1" applyProtection="1">
      <alignment horizontal="center" vertical="center"/>
    </xf>
    <xf numFmtId="167" fontId="1" fillId="2" borderId="42" xfId="2" applyNumberFormat="1" applyFont="1" applyFill="1" applyBorder="1" applyAlignment="1" applyProtection="1">
      <alignment horizontal="center" vertical="center"/>
    </xf>
    <xf numFmtId="0" fontId="0" fillId="5" borderId="0" xfId="0" applyFill="1">
      <alignment vertical="center"/>
    </xf>
    <xf numFmtId="0" fontId="16" fillId="5" borderId="46" xfId="0" applyFont="1" applyFill="1" applyBorder="1" applyAlignment="1">
      <alignment horizontal="left" vertical="center"/>
    </xf>
    <xf numFmtId="0" fontId="16" fillId="5" borderId="42" xfId="0" applyFont="1" applyFill="1" applyBorder="1" applyAlignment="1">
      <alignment horizontal="left" vertical="center"/>
    </xf>
    <xf numFmtId="0" fontId="17" fillId="5" borderId="46" xfId="0" applyFont="1" applyFill="1" applyBorder="1" applyAlignment="1">
      <alignment horizontal="left" vertical="center"/>
    </xf>
    <xf numFmtId="0" fontId="17" fillId="5" borderId="46" xfId="0" applyFont="1" applyFill="1" applyBorder="1" applyAlignment="1">
      <alignment horizontal="right" vertical="center"/>
    </xf>
    <xf numFmtId="0" fontId="9" fillId="3" borderId="24" xfId="0" applyFont="1" applyFill="1" applyBorder="1" applyAlignment="1">
      <alignment horizontal="center" vertical="center" wrapText="1"/>
    </xf>
    <xf numFmtId="14" fontId="10" fillId="0" borderId="1" xfId="2" applyNumberFormat="1" applyFont="1" applyFill="1" applyBorder="1" applyAlignment="1" applyProtection="1">
      <alignment horizontal="center" vertical="center"/>
    </xf>
    <xf numFmtId="164" fontId="3" fillId="7" borderId="31" xfId="1" applyFont="1" applyFill="1" applyBorder="1" applyAlignment="1" applyProtection="1">
      <alignment horizontal="center" vertical="center" wrapText="1"/>
    </xf>
    <xf numFmtId="164" fontId="3" fillId="7" borderId="40" xfId="1" applyFont="1" applyFill="1" applyBorder="1" applyAlignment="1" applyProtection="1">
      <alignment horizontal="center" vertical="center" wrapText="1"/>
    </xf>
    <xf numFmtId="167" fontId="4" fillId="7" borderId="41" xfId="2" applyNumberFormat="1" applyFont="1" applyFill="1" applyBorder="1" applyAlignment="1" applyProtection="1">
      <alignment horizontal="center" vertical="center"/>
    </xf>
    <xf numFmtId="167" fontId="4" fillId="7" borderId="42" xfId="2" applyNumberFormat="1" applyFont="1" applyFill="1" applyBorder="1" applyAlignment="1" applyProtection="1">
      <alignment horizontal="center" vertical="center"/>
    </xf>
    <xf numFmtId="167" fontId="3" fillId="7" borderId="31" xfId="2" applyNumberFormat="1" applyFont="1" applyFill="1" applyBorder="1" applyAlignment="1" applyProtection="1">
      <alignment horizontal="center" vertical="center"/>
    </xf>
    <xf numFmtId="166" fontId="4" fillId="7" borderId="43" xfId="2" applyNumberFormat="1" applyFont="1" applyFill="1" applyBorder="1" applyAlignment="1" applyProtection="1">
      <alignment horizontal="center" vertical="center" wrapText="1"/>
    </xf>
    <xf numFmtId="167" fontId="4" fillId="7" borderId="39" xfId="2" applyNumberFormat="1" applyFont="1" applyFill="1" applyBorder="1" applyAlignment="1" applyProtection="1">
      <alignment horizontal="center" vertical="center"/>
    </xf>
    <xf numFmtId="166" fontId="4" fillId="7" borderId="44" xfId="2" applyNumberFormat="1" applyFont="1" applyFill="1" applyBorder="1" applyAlignment="1" applyProtection="1">
      <alignment horizontal="center" vertical="center"/>
    </xf>
    <xf numFmtId="167" fontId="4" fillId="7" borderId="44" xfId="2" applyNumberFormat="1" applyFont="1" applyFill="1" applyBorder="1" applyAlignment="1" applyProtection="1">
      <alignment horizontal="center" vertical="center"/>
    </xf>
    <xf numFmtId="167" fontId="4" fillId="7" borderId="40" xfId="2" applyNumberFormat="1" applyFont="1" applyFill="1" applyBorder="1" applyAlignment="1" applyProtection="1">
      <alignment horizontal="center" vertical="center"/>
    </xf>
    <xf numFmtId="167" fontId="3" fillId="7" borderId="43" xfId="2" applyNumberFormat="1" applyFont="1" applyFill="1" applyBorder="1" applyAlignment="1" applyProtection="1">
      <alignment horizontal="center" vertical="center"/>
    </xf>
    <xf numFmtId="167" fontId="4" fillId="7" borderId="39" xfId="2" applyNumberFormat="1" applyFont="1" applyFill="1" applyBorder="1" applyAlignment="1" applyProtection="1">
      <alignment horizontal="right" vertical="center"/>
    </xf>
    <xf numFmtId="167" fontId="4" fillId="7" borderId="45" xfId="2" applyNumberFormat="1" applyFont="1" applyFill="1" applyBorder="1" applyAlignment="1" applyProtection="1">
      <alignment horizontal="right" vertical="center"/>
    </xf>
    <xf numFmtId="167" fontId="3" fillId="7" borderId="42" xfId="2" applyNumberFormat="1" applyFont="1" applyFill="1" applyBorder="1" applyAlignment="1" applyProtection="1">
      <alignment horizontal="center" vertical="center"/>
    </xf>
    <xf numFmtId="167" fontId="3" fillId="7" borderId="41" xfId="2" applyNumberFormat="1" applyFont="1" applyFill="1" applyBorder="1" applyAlignment="1" applyProtection="1">
      <alignment horizontal="center" vertical="center"/>
    </xf>
    <xf numFmtId="167" fontId="4" fillId="7" borderId="44" xfId="2" applyNumberFormat="1" applyFont="1" applyFill="1" applyBorder="1" applyAlignment="1" applyProtection="1">
      <alignment horizontal="right" vertical="center"/>
    </xf>
    <xf numFmtId="167" fontId="4" fillId="7" borderId="45" xfId="2" applyNumberFormat="1" applyFont="1" applyFill="1" applyBorder="1" applyAlignment="1" applyProtection="1">
      <alignment horizontal="center" vertical="center"/>
    </xf>
    <xf numFmtId="164" fontId="3" fillId="0" borderId="40" xfId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164" fontId="3" fillId="0" borderId="8" xfId="1" applyFont="1" applyFill="1" applyBorder="1" applyAlignment="1" applyProtection="1">
      <alignment horizontal="center" vertical="center" wrapText="1"/>
    </xf>
    <xf numFmtId="164" fontId="3" fillId="0" borderId="9" xfId="1" applyFont="1" applyFill="1" applyBorder="1" applyAlignment="1" applyProtection="1">
      <alignment horizontal="center" vertical="center" wrapText="1"/>
    </xf>
    <xf numFmtId="164" fontId="3" fillId="0" borderId="17" xfId="1" applyFont="1" applyFill="1" applyBorder="1" applyAlignment="1" applyProtection="1">
      <alignment horizontal="center" vertical="center" wrapText="1"/>
    </xf>
    <xf numFmtId="167" fontId="4" fillId="0" borderId="41" xfId="2" applyNumberFormat="1" applyFont="1" applyFill="1" applyBorder="1" applyAlignment="1" applyProtection="1">
      <alignment horizontal="center" vertical="center"/>
    </xf>
    <xf numFmtId="167" fontId="4" fillId="0" borderId="11" xfId="2" applyNumberFormat="1" applyFont="1" applyFill="1" applyBorder="1" applyAlignment="1" applyProtection="1">
      <alignment horizontal="center" vertical="center"/>
    </xf>
    <xf numFmtId="167" fontId="4" fillId="0" borderId="10" xfId="2" applyNumberFormat="1" applyFont="1" applyFill="1" applyBorder="1" applyAlignment="1" applyProtection="1">
      <alignment horizontal="center" vertical="center"/>
    </xf>
    <xf numFmtId="167" fontId="4" fillId="0" borderId="18" xfId="2" applyNumberFormat="1" applyFont="1" applyFill="1" applyBorder="1" applyAlignment="1" applyProtection="1">
      <alignment horizontal="center" vertical="center"/>
    </xf>
    <xf numFmtId="167" fontId="4" fillId="0" borderId="42" xfId="2" applyNumberFormat="1" applyFont="1" applyFill="1" applyBorder="1" applyAlignment="1" applyProtection="1">
      <alignment horizontal="center" vertical="center"/>
    </xf>
    <xf numFmtId="167" fontId="4" fillId="0" borderId="12" xfId="2" applyNumberFormat="1" applyFont="1" applyFill="1" applyBorder="1" applyAlignment="1" applyProtection="1">
      <alignment horizontal="center" vertical="center"/>
    </xf>
    <xf numFmtId="167" fontId="4" fillId="0" borderId="13" xfId="2" applyNumberFormat="1" applyFont="1" applyFill="1" applyBorder="1" applyAlignment="1" applyProtection="1">
      <alignment horizontal="center" vertical="center"/>
    </xf>
    <xf numFmtId="167" fontId="4" fillId="0" borderId="19" xfId="2" applyNumberFormat="1" applyFont="1" applyFill="1" applyBorder="1" applyAlignment="1" applyProtection="1">
      <alignment horizontal="center" vertical="center"/>
    </xf>
    <xf numFmtId="167" fontId="3" fillId="0" borderId="31" xfId="2" applyNumberFormat="1" applyFont="1" applyFill="1" applyBorder="1" applyAlignment="1" applyProtection="1">
      <alignment horizontal="center" vertical="center"/>
    </xf>
    <xf numFmtId="167" fontId="3" fillId="0" borderId="6" xfId="2" applyNumberFormat="1" applyFont="1" applyFill="1" applyBorder="1" applyAlignment="1" applyProtection="1">
      <alignment horizontal="center" vertical="center"/>
    </xf>
    <xf numFmtId="167" fontId="3" fillId="0" borderId="7" xfId="2" applyNumberFormat="1" applyFont="1" applyFill="1" applyBorder="1" applyAlignment="1" applyProtection="1">
      <alignment horizontal="center" vertical="center"/>
    </xf>
    <xf numFmtId="167" fontId="3" fillId="0" borderId="16" xfId="2" applyNumberFormat="1" applyFont="1" applyFill="1" applyBorder="1" applyAlignment="1" applyProtection="1">
      <alignment horizontal="center" vertical="center"/>
    </xf>
    <xf numFmtId="166" fontId="4" fillId="0" borderId="43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166" fontId="4" fillId="0" borderId="14" xfId="2" applyNumberFormat="1" applyFont="1" applyFill="1" applyBorder="1" applyAlignment="1" applyProtection="1">
      <alignment horizontal="center" vertical="center" wrapText="1"/>
    </xf>
    <xf numFmtId="166" fontId="4" fillId="0" borderId="15" xfId="2" applyNumberFormat="1" applyFont="1" applyFill="1" applyBorder="1" applyAlignment="1" applyProtection="1">
      <alignment horizontal="center" vertical="center" wrapText="1"/>
    </xf>
    <xf numFmtId="166" fontId="4" fillId="0" borderId="20" xfId="2" applyNumberFormat="1" applyFont="1" applyFill="1" applyBorder="1" applyAlignment="1" applyProtection="1">
      <alignment horizontal="center" vertical="center" wrapText="1"/>
    </xf>
    <xf numFmtId="167" fontId="4" fillId="0" borderId="39" xfId="2" applyNumberFormat="1" applyFont="1" applyFill="1" applyBorder="1" applyAlignment="1" applyProtection="1">
      <alignment horizontal="center" vertical="center"/>
    </xf>
    <xf numFmtId="167" fontId="4" fillId="0" borderId="4" xfId="2" applyNumberFormat="1" applyFont="1" applyFill="1" applyBorder="1" applyAlignment="1" applyProtection="1">
      <alignment horizontal="center" vertical="center"/>
    </xf>
    <xf numFmtId="167" fontId="4" fillId="0" borderId="1" xfId="2" applyNumberFormat="1" applyFont="1" applyFill="1" applyBorder="1" applyAlignment="1" applyProtection="1">
      <alignment horizontal="center" vertical="center"/>
    </xf>
    <xf numFmtId="167" fontId="4" fillId="0" borderId="21" xfId="2" applyNumberFormat="1" applyFont="1" applyFill="1" applyBorder="1" applyAlignment="1" applyProtection="1">
      <alignment horizontal="center" vertical="center"/>
    </xf>
    <xf numFmtId="166" fontId="4" fillId="0" borderId="44" xfId="2" applyNumberFormat="1" applyFont="1" applyFill="1" applyBorder="1" applyAlignment="1" applyProtection="1">
      <alignment horizontal="center" vertical="center"/>
    </xf>
    <xf numFmtId="166" fontId="4" fillId="0" borderId="26" xfId="2" applyNumberFormat="1" applyFont="1" applyFill="1" applyBorder="1" applyAlignment="1" applyProtection="1">
      <alignment horizontal="center" vertical="center"/>
    </xf>
    <xf numFmtId="166" fontId="4" fillId="0" borderId="27" xfId="2" applyNumberFormat="1" applyFont="1" applyFill="1" applyBorder="1" applyAlignment="1" applyProtection="1">
      <alignment horizontal="center" vertical="center"/>
    </xf>
    <xf numFmtId="166" fontId="4" fillId="0" borderId="28" xfId="2" applyNumberFormat="1" applyFont="1" applyFill="1" applyBorder="1" applyAlignment="1" applyProtection="1">
      <alignment horizontal="center" vertical="center"/>
    </xf>
    <xf numFmtId="167" fontId="4" fillId="0" borderId="44" xfId="2" applyNumberFormat="1" applyFont="1" applyFill="1" applyBorder="1" applyAlignment="1" applyProtection="1">
      <alignment horizontal="center" vertical="center"/>
    </xf>
    <xf numFmtId="167" fontId="4" fillId="0" borderId="26" xfId="2" applyNumberFormat="1" applyFont="1" applyFill="1" applyBorder="1" applyAlignment="1" applyProtection="1">
      <alignment horizontal="center" vertical="center"/>
    </xf>
    <xf numFmtId="167" fontId="4" fillId="0" borderId="27" xfId="2" applyNumberFormat="1" applyFont="1" applyFill="1" applyBorder="1" applyAlignment="1" applyProtection="1">
      <alignment horizontal="center" vertical="center"/>
    </xf>
    <xf numFmtId="167" fontId="4" fillId="0" borderId="28" xfId="2" applyNumberFormat="1" applyFont="1" applyFill="1" applyBorder="1" applyAlignment="1" applyProtection="1">
      <alignment horizontal="center" vertical="center"/>
    </xf>
    <xf numFmtId="167" fontId="4" fillId="0" borderId="40" xfId="2" applyNumberFormat="1" applyFont="1" applyFill="1" applyBorder="1" applyAlignment="1" applyProtection="1">
      <alignment horizontal="center" vertical="center"/>
    </xf>
    <xf numFmtId="167" fontId="4" fillId="0" borderId="8" xfId="2" applyNumberFormat="1" applyFont="1" applyFill="1" applyBorder="1" applyAlignment="1" applyProtection="1">
      <alignment horizontal="center" vertical="center"/>
    </xf>
    <xf numFmtId="167" fontId="4" fillId="0" borderId="9" xfId="2" applyNumberFormat="1" applyFont="1" applyFill="1" applyBorder="1" applyAlignment="1" applyProtection="1">
      <alignment horizontal="center" vertical="center"/>
    </xf>
    <xf numFmtId="167" fontId="4" fillId="0" borderId="17" xfId="2" applyNumberFormat="1" applyFont="1" applyFill="1" applyBorder="1" applyAlignment="1" applyProtection="1">
      <alignment horizontal="center" vertical="center"/>
    </xf>
    <xf numFmtId="167" fontId="3" fillId="0" borderId="43" xfId="2" applyNumberFormat="1" applyFont="1" applyFill="1" applyBorder="1" applyAlignment="1" applyProtection="1">
      <alignment horizontal="center" vertical="center"/>
    </xf>
    <xf numFmtId="167" fontId="3" fillId="0" borderId="14" xfId="2" applyNumberFormat="1" applyFont="1" applyFill="1" applyBorder="1" applyAlignment="1" applyProtection="1">
      <alignment horizontal="center" vertical="center"/>
    </xf>
    <xf numFmtId="167" fontId="3" fillId="0" borderId="15" xfId="2" applyNumberFormat="1" applyFont="1" applyFill="1" applyBorder="1" applyAlignment="1" applyProtection="1">
      <alignment horizontal="center" vertical="center"/>
    </xf>
    <xf numFmtId="167" fontId="3" fillId="0" borderId="20" xfId="2" applyNumberFormat="1" applyFont="1" applyFill="1" applyBorder="1" applyAlignment="1" applyProtection="1">
      <alignment horizontal="center" vertical="center"/>
    </xf>
    <xf numFmtId="167" fontId="4" fillId="0" borderId="39" xfId="2" applyNumberFormat="1" applyFont="1" applyFill="1" applyBorder="1" applyAlignment="1" applyProtection="1">
      <alignment horizontal="right" vertical="center"/>
    </xf>
    <xf numFmtId="167" fontId="4" fillId="0" borderId="4" xfId="2" applyNumberFormat="1" applyFont="1" applyFill="1" applyBorder="1" applyAlignment="1" applyProtection="1">
      <alignment horizontal="right" vertical="center"/>
    </xf>
    <xf numFmtId="167" fontId="4" fillId="0" borderId="1" xfId="2" applyNumberFormat="1" applyFont="1" applyFill="1" applyBorder="1" applyAlignment="1" applyProtection="1">
      <alignment horizontal="right" vertical="center"/>
    </xf>
    <xf numFmtId="167" fontId="4" fillId="0" borderId="21" xfId="2" applyNumberFormat="1" applyFont="1" applyFill="1" applyBorder="1" applyAlignment="1" applyProtection="1">
      <alignment horizontal="right" vertical="center"/>
    </xf>
    <xf numFmtId="167" fontId="4" fillId="0" borderId="45" xfId="2" applyNumberFormat="1" applyFont="1" applyFill="1" applyBorder="1" applyAlignment="1" applyProtection="1">
      <alignment horizontal="right" vertical="center"/>
    </xf>
    <xf numFmtId="167" fontId="4" fillId="0" borderId="2" xfId="2" applyNumberFormat="1" applyFont="1" applyFill="1" applyBorder="1" applyAlignment="1" applyProtection="1">
      <alignment horizontal="right" vertical="center"/>
    </xf>
    <xf numFmtId="167" fontId="4" fillId="0" borderId="3" xfId="2" applyNumberFormat="1" applyFont="1" applyFill="1" applyBorder="1" applyAlignment="1" applyProtection="1">
      <alignment horizontal="right" vertical="center"/>
    </xf>
    <xf numFmtId="167" fontId="4" fillId="0" borderId="22" xfId="2" applyNumberFormat="1" applyFont="1" applyFill="1" applyBorder="1" applyAlignment="1" applyProtection="1">
      <alignment horizontal="right" vertical="center"/>
    </xf>
    <xf numFmtId="167" fontId="3" fillId="0" borderId="42" xfId="2" applyNumberFormat="1" applyFont="1" applyFill="1" applyBorder="1" applyAlignment="1" applyProtection="1">
      <alignment horizontal="center" vertical="center"/>
    </xf>
    <xf numFmtId="167" fontId="3" fillId="0" borderId="12" xfId="2" applyNumberFormat="1" applyFont="1" applyFill="1" applyBorder="1" applyAlignment="1" applyProtection="1">
      <alignment horizontal="center" vertical="center"/>
    </xf>
    <xf numFmtId="167" fontId="3" fillId="0" borderId="13" xfId="2" applyNumberFormat="1" applyFont="1" applyFill="1" applyBorder="1" applyAlignment="1" applyProtection="1">
      <alignment horizontal="center" vertical="center"/>
    </xf>
    <xf numFmtId="167" fontId="3" fillId="0" borderId="19" xfId="2" applyNumberFormat="1" applyFont="1" applyFill="1" applyBorder="1" applyAlignment="1" applyProtection="1">
      <alignment horizontal="center" vertical="center"/>
    </xf>
    <xf numFmtId="167" fontId="3" fillId="0" borderId="41" xfId="2" applyNumberFormat="1" applyFont="1" applyFill="1" applyBorder="1" applyAlignment="1" applyProtection="1">
      <alignment horizontal="center" vertical="center"/>
    </xf>
    <xf numFmtId="167" fontId="3" fillId="0" borderId="11" xfId="2" applyNumberFormat="1" applyFont="1" applyFill="1" applyBorder="1" applyAlignment="1" applyProtection="1">
      <alignment horizontal="center" vertical="center"/>
    </xf>
    <xf numFmtId="167" fontId="3" fillId="0" borderId="10" xfId="2" applyNumberFormat="1" applyFont="1" applyFill="1" applyBorder="1" applyAlignment="1" applyProtection="1">
      <alignment horizontal="center" vertical="center"/>
    </xf>
    <xf numFmtId="167" fontId="3" fillId="0" borderId="18" xfId="2" applyNumberFormat="1" applyFont="1" applyFill="1" applyBorder="1" applyAlignment="1" applyProtection="1">
      <alignment horizontal="center" vertical="center"/>
    </xf>
    <xf numFmtId="167" fontId="4" fillId="0" borderId="44" xfId="2" applyNumberFormat="1" applyFont="1" applyFill="1" applyBorder="1" applyAlignment="1" applyProtection="1">
      <alignment horizontal="right" vertical="center"/>
    </xf>
    <xf numFmtId="167" fontId="4" fillId="0" borderId="26" xfId="2" applyNumberFormat="1" applyFont="1" applyFill="1" applyBorder="1" applyAlignment="1" applyProtection="1">
      <alignment horizontal="right" vertical="center"/>
    </xf>
    <xf numFmtId="167" fontId="4" fillId="0" borderId="27" xfId="2" applyNumberFormat="1" applyFont="1" applyFill="1" applyBorder="1" applyAlignment="1" applyProtection="1">
      <alignment horizontal="right" vertical="center"/>
    </xf>
    <xf numFmtId="167" fontId="4" fillId="0" borderId="28" xfId="2" applyNumberFormat="1" applyFont="1" applyFill="1" applyBorder="1" applyAlignment="1" applyProtection="1">
      <alignment horizontal="right" vertical="center"/>
    </xf>
    <xf numFmtId="167" fontId="4" fillId="0" borderId="45" xfId="2" applyNumberFormat="1" applyFont="1" applyFill="1" applyBorder="1" applyAlignment="1" applyProtection="1">
      <alignment horizontal="center" vertical="center"/>
    </xf>
    <xf numFmtId="167" fontId="4" fillId="0" borderId="2" xfId="2" applyNumberFormat="1" applyFont="1" applyFill="1" applyBorder="1" applyAlignment="1" applyProtection="1">
      <alignment horizontal="center" vertical="center"/>
    </xf>
    <xf numFmtId="167" fontId="4" fillId="0" borderId="3" xfId="2" applyNumberFormat="1" applyFont="1" applyFill="1" applyBorder="1" applyAlignment="1" applyProtection="1">
      <alignment horizontal="center" vertical="center"/>
    </xf>
    <xf numFmtId="167" fontId="4" fillId="0" borderId="22" xfId="2" applyNumberFormat="1" applyFont="1" applyFill="1" applyBorder="1" applyAlignment="1" applyProtection="1">
      <alignment horizontal="center" vertical="center"/>
    </xf>
    <xf numFmtId="164" fontId="3" fillId="0" borderId="31" xfId="1" applyFont="1" applyFill="1" applyBorder="1" applyAlignment="1" applyProtection="1">
      <alignment horizontal="center" vertical="center" wrapText="1"/>
    </xf>
    <xf numFmtId="164" fontId="3" fillId="0" borderId="6" xfId="1" applyFont="1" applyFill="1" applyBorder="1" applyAlignment="1" applyProtection="1">
      <alignment horizontal="center" vertical="center" wrapText="1"/>
    </xf>
    <xf numFmtId="164" fontId="3" fillId="0" borderId="7" xfId="1" applyFont="1" applyFill="1" applyBorder="1" applyAlignment="1" applyProtection="1">
      <alignment horizontal="center" vertical="center" wrapText="1"/>
    </xf>
    <xf numFmtId="164" fontId="3" fillId="0" borderId="16" xfId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left" vertical="top"/>
    </xf>
    <xf numFmtId="167" fontId="0" fillId="0" borderId="1" xfId="2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167" fontId="0" fillId="0" borderId="0" xfId="2" applyNumberFormat="1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10" fillId="0" borderId="0" xfId="2" applyNumberFormat="1" applyFont="1" applyFill="1" applyBorder="1" applyAlignment="1" applyProtection="1">
      <alignment horizontal="center" vertical="center"/>
    </xf>
    <xf numFmtId="167" fontId="10" fillId="0" borderId="0" xfId="2" applyNumberFormat="1" applyFont="1" applyFill="1" applyBorder="1" applyAlignment="1" applyProtection="1">
      <alignment horizontal="center" vertical="center"/>
    </xf>
    <xf numFmtId="167" fontId="12" fillId="0" borderId="0" xfId="2" applyNumberFormat="1" applyFont="1" applyFill="1" applyBorder="1" applyAlignment="1" applyProtection="1">
      <alignment horizontal="center" vertical="center"/>
    </xf>
    <xf numFmtId="165" fontId="12" fillId="0" borderId="0" xfId="2" applyNumberFormat="1" applyFont="1" applyFill="1" applyBorder="1" applyAlignment="1" applyProtection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49" fontId="10" fillId="7" borderId="1" xfId="0" applyNumberFormat="1" applyFont="1" applyFill="1" applyBorder="1" applyAlignment="1">
      <alignment horizontal="left" vertical="center"/>
    </xf>
    <xf numFmtId="167" fontId="10" fillId="7" borderId="1" xfId="2" applyNumberFormat="1" applyFont="1" applyFill="1" applyBorder="1" applyAlignment="1" applyProtection="1">
      <alignment horizontal="center" vertical="center"/>
    </xf>
    <xf numFmtId="14" fontId="10" fillId="7" borderId="1" xfId="2" applyNumberFormat="1" applyFont="1" applyFill="1" applyBorder="1" applyAlignment="1" applyProtection="1">
      <alignment horizontal="center" vertical="center"/>
    </xf>
    <xf numFmtId="1" fontId="10" fillId="7" borderId="1" xfId="2" applyNumberFormat="1" applyFont="1" applyFill="1" applyBorder="1" applyAlignment="1" applyProtection="1">
      <alignment horizontal="center" vertical="center"/>
    </xf>
    <xf numFmtId="167" fontId="12" fillId="7" borderId="1" xfId="2" applyNumberFormat="1" applyFont="1" applyFill="1" applyBorder="1" applyAlignment="1" applyProtection="1">
      <alignment horizontal="center" vertical="center"/>
    </xf>
    <xf numFmtId="165" fontId="12" fillId="7" borderId="1" xfId="2" applyNumberFormat="1" applyFont="1" applyFill="1" applyBorder="1" applyAlignment="1" applyProtection="1">
      <alignment horizontal="center" vertical="center"/>
    </xf>
    <xf numFmtId="0" fontId="10" fillId="7" borderId="1" xfId="0" applyFont="1" applyFill="1" applyBorder="1" applyAlignment="1">
      <alignment horizontal="left" vertical="top"/>
    </xf>
    <xf numFmtId="49" fontId="10" fillId="7" borderId="1" xfId="0" applyNumberFormat="1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center"/>
    </xf>
    <xf numFmtId="167" fontId="0" fillId="7" borderId="1" xfId="2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righ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righ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top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164" fontId="3" fillId="8" borderId="6" xfId="1" applyFont="1" applyFill="1" applyBorder="1" applyAlignment="1" applyProtection="1">
      <alignment horizontal="center" vertical="center" wrapText="1"/>
    </xf>
    <xf numFmtId="164" fontId="3" fillId="8" borderId="7" xfId="1" applyFont="1" applyFill="1" applyBorder="1" applyAlignment="1" applyProtection="1">
      <alignment horizontal="center" vertical="center" wrapText="1"/>
    </xf>
    <xf numFmtId="164" fontId="3" fillId="8" borderId="16" xfId="1" applyFont="1" applyFill="1" applyBorder="1" applyAlignment="1" applyProtection="1">
      <alignment horizontal="center" vertical="center" wrapText="1"/>
    </xf>
    <xf numFmtId="164" fontId="3" fillId="8" borderId="8" xfId="1" applyFont="1" applyFill="1" applyBorder="1" applyAlignment="1" applyProtection="1">
      <alignment horizontal="center" vertical="center" wrapText="1"/>
    </xf>
    <xf numFmtId="164" fontId="3" fillId="8" borderId="9" xfId="1" applyFont="1" applyFill="1" applyBorder="1" applyAlignment="1" applyProtection="1">
      <alignment horizontal="center" vertical="center" wrapText="1"/>
    </xf>
    <xf numFmtId="164" fontId="3" fillId="8" borderId="17" xfId="1" applyFont="1" applyFill="1" applyBorder="1" applyAlignment="1" applyProtection="1">
      <alignment horizontal="center" vertical="center" wrapText="1"/>
    </xf>
    <xf numFmtId="167" fontId="4" fillId="8" borderId="11" xfId="2" applyNumberFormat="1" applyFont="1" applyFill="1" applyBorder="1" applyAlignment="1" applyProtection="1">
      <alignment horizontal="center" vertical="center"/>
    </xf>
    <xf numFmtId="167" fontId="4" fillId="8" borderId="10" xfId="2" applyNumberFormat="1" applyFont="1" applyFill="1" applyBorder="1" applyAlignment="1" applyProtection="1">
      <alignment horizontal="center" vertical="center"/>
    </xf>
    <xf numFmtId="167" fontId="4" fillId="8" borderId="18" xfId="2" applyNumberFormat="1" applyFont="1" applyFill="1" applyBorder="1" applyAlignment="1" applyProtection="1">
      <alignment horizontal="center" vertical="center"/>
    </xf>
    <xf numFmtId="167" fontId="4" fillId="8" borderId="12" xfId="2" applyNumberFormat="1" applyFont="1" applyFill="1" applyBorder="1" applyAlignment="1" applyProtection="1">
      <alignment horizontal="center" vertical="center"/>
    </xf>
    <xf numFmtId="167" fontId="4" fillId="8" borderId="13" xfId="2" applyNumberFormat="1" applyFont="1" applyFill="1" applyBorder="1" applyAlignment="1" applyProtection="1">
      <alignment horizontal="center" vertical="center"/>
    </xf>
    <xf numFmtId="167" fontId="4" fillId="8" borderId="19" xfId="2" applyNumberFormat="1" applyFont="1" applyFill="1" applyBorder="1" applyAlignment="1" applyProtection="1">
      <alignment horizontal="center" vertical="center"/>
    </xf>
    <xf numFmtId="167" fontId="3" fillId="8" borderId="6" xfId="2" applyNumberFormat="1" applyFont="1" applyFill="1" applyBorder="1" applyAlignment="1" applyProtection="1">
      <alignment horizontal="center" vertical="center"/>
    </xf>
    <xf numFmtId="167" fontId="3" fillId="8" borderId="7" xfId="2" applyNumberFormat="1" applyFont="1" applyFill="1" applyBorder="1" applyAlignment="1" applyProtection="1">
      <alignment horizontal="center" vertical="center"/>
    </xf>
    <xf numFmtId="167" fontId="3" fillId="8" borderId="16" xfId="2" applyNumberFormat="1" applyFont="1" applyFill="1" applyBorder="1" applyAlignment="1" applyProtection="1">
      <alignment horizontal="center" vertical="center"/>
    </xf>
    <xf numFmtId="166" fontId="4" fillId="8" borderId="14" xfId="2" applyNumberFormat="1" applyFont="1" applyFill="1" applyBorder="1" applyAlignment="1" applyProtection="1">
      <alignment horizontal="center" vertical="center" wrapText="1"/>
    </xf>
    <xf numFmtId="166" fontId="4" fillId="8" borderId="15" xfId="2" applyNumberFormat="1" applyFont="1" applyFill="1" applyBorder="1" applyAlignment="1" applyProtection="1">
      <alignment horizontal="center" vertical="center" wrapText="1"/>
    </xf>
    <xf numFmtId="166" fontId="4" fillId="8" borderId="20" xfId="2" applyNumberFormat="1" applyFont="1" applyFill="1" applyBorder="1" applyAlignment="1" applyProtection="1">
      <alignment horizontal="center" vertical="center" wrapText="1"/>
    </xf>
    <xf numFmtId="167" fontId="4" fillId="8" borderId="4" xfId="2" applyNumberFormat="1" applyFont="1" applyFill="1" applyBorder="1" applyAlignment="1" applyProtection="1">
      <alignment horizontal="center" vertical="center"/>
    </xf>
    <xf numFmtId="167" fontId="4" fillId="8" borderId="1" xfId="2" applyNumberFormat="1" applyFont="1" applyFill="1" applyBorder="1" applyAlignment="1" applyProtection="1">
      <alignment horizontal="center" vertical="center"/>
    </xf>
    <xf numFmtId="167" fontId="4" fillId="8" borderId="21" xfId="2" applyNumberFormat="1" applyFont="1" applyFill="1" applyBorder="1" applyAlignment="1" applyProtection="1">
      <alignment horizontal="center" vertical="center"/>
    </xf>
    <xf numFmtId="166" fontId="4" fillId="8" borderId="26" xfId="2" applyNumberFormat="1" applyFont="1" applyFill="1" applyBorder="1" applyAlignment="1" applyProtection="1">
      <alignment horizontal="center" vertical="center"/>
    </xf>
    <xf numFmtId="166" fontId="4" fillId="8" borderId="27" xfId="2" applyNumberFormat="1" applyFont="1" applyFill="1" applyBorder="1" applyAlignment="1" applyProtection="1">
      <alignment horizontal="center" vertical="center"/>
    </xf>
    <xf numFmtId="166" fontId="4" fillId="8" borderId="28" xfId="2" applyNumberFormat="1" applyFont="1" applyFill="1" applyBorder="1" applyAlignment="1" applyProtection="1">
      <alignment horizontal="center" vertical="center"/>
    </xf>
    <xf numFmtId="167" fontId="4" fillId="8" borderId="26" xfId="2" applyNumberFormat="1" applyFont="1" applyFill="1" applyBorder="1" applyAlignment="1" applyProtection="1">
      <alignment horizontal="center" vertical="center"/>
    </xf>
    <xf numFmtId="167" fontId="4" fillId="8" borderId="27" xfId="2" applyNumberFormat="1" applyFont="1" applyFill="1" applyBorder="1" applyAlignment="1" applyProtection="1">
      <alignment horizontal="center" vertical="center"/>
    </xf>
    <xf numFmtId="167" fontId="4" fillId="8" borderId="28" xfId="2" applyNumberFormat="1" applyFont="1" applyFill="1" applyBorder="1" applyAlignment="1" applyProtection="1">
      <alignment horizontal="center" vertical="center"/>
    </xf>
    <xf numFmtId="167" fontId="4" fillId="8" borderId="8" xfId="2" applyNumberFormat="1" applyFont="1" applyFill="1" applyBorder="1" applyAlignment="1" applyProtection="1">
      <alignment horizontal="center" vertical="center"/>
    </xf>
    <xf numFmtId="167" fontId="4" fillId="8" borderId="9" xfId="2" applyNumberFormat="1" applyFont="1" applyFill="1" applyBorder="1" applyAlignment="1" applyProtection="1">
      <alignment horizontal="center" vertical="center"/>
    </xf>
    <xf numFmtId="167" fontId="4" fillId="8" borderId="17" xfId="2" applyNumberFormat="1" applyFont="1" applyFill="1" applyBorder="1" applyAlignment="1" applyProtection="1">
      <alignment horizontal="center" vertical="center"/>
    </xf>
    <xf numFmtId="167" fontId="3" fillId="8" borderId="14" xfId="2" applyNumberFormat="1" applyFont="1" applyFill="1" applyBorder="1" applyAlignment="1" applyProtection="1">
      <alignment horizontal="center" vertical="center"/>
    </xf>
    <xf numFmtId="167" fontId="3" fillId="8" borderId="15" xfId="2" applyNumberFormat="1" applyFont="1" applyFill="1" applyBorder="1" applyAlignment="1" applyProtection="1">
      <alignment horizontal="center" vertical="center"/>
    </xf>
    <xf numFmtId="167" fontId="3" fillId="8" borderId="20" xfId="2" applyNumberFormat="1" applyFont="1" applyFill="1" applyBorder="1" applyAlignment="1" applyProtection="1">
      <alignment horizontal="center" vertical="center"/>
    </xf>
    <xf numFmtId="167" fontId="4" fillId="8" borderId="39" xfId="2" applyNumberFormat="1" applyFont="1" applyFill="1" applyBorder="1" applyAlignment="1" applyProtection="1">
      <alignment horizontal="center" vertical="center"/>
    </xf>
    <xf numFmtId="167" fontId="4" fillId="8" borderId="4" xfId="2" applyNumberFormat="1" applyFont="1" applyFill="1" applyBorder="1" applyAlignment="1" applyProtection="1">
      <alignment horizontal="right" vertical="center"/>
    </xf>
    <xf numFmtId="167" fontId="4" fillId="8" borderId="1" xfId="2" applyNumberFormat="1" applyFont="1" applyFill="1" applyBorder="1" applyAlignment="1" applyProtection="1">
      <alignment horizontal="right" vertical="center"/>
    </xf>
    <xf numFmtId="167" fontId="4" fillId="8" borderId="21" xfId="2" applyNumberFormat="1" applyFont="1" applyFill="1" applyBorder="1" applyAlignment="1" applyProtection="1">
      <alignment horizontal="right" vertical="center"/>
    </xf>
    <xf numFmtId="167" fontId="4" fillId="8" borderId="2" xfId="2" applyNumberFormat="1" applyFont="1" applyFill="1" applyBorder="1" applyAlignment="1" applyProtection="1">
      <alignment horizontal="right" vertical="center"/>
    </xf>
    <xf numFmtId="167" fontId="4" fillId="8" borderId="3" xfId="2" applyNumberFormat="1" applyFont="1" applyFill="1" applyBorder="1" applyAlignment="1" applyProtection="1">
      <alignment horizontal="right" vertical="center"/>
    </xf>
    <xf numFmtId="167" fontId="4" fillId="8" borderId="22" xfId="2" applyNumberFormat="1" applyFont="1" applyFill="1" applyBorder="1" applyAlignment="1" applyProtection="1">
      <alignment horizontal="right" vertical="center"/>
    </xf>
    <xf numFmtId="167" fontId="3" fillId="8" borderId="12" xfId="2" applyNumberFormat="1" applyFont="1" applyFill="1" applyBorder="1" applyAlignment="1" applyProtection="1">
      <alignment horizontal="center" vertical="center"/>
    </xf>
    <xf numFmtId="167" fontId="3" fillId="8" borderId="13" xfId="2" applyNumberFormat="1" applyFont="1" applyFill="1" applyBorder="1" applyAlignment="1" applyProtection="1">
      <alignment horizontal="center" vertical="center"/>
    </xf>
    <xf numFmtId="167" fontId="3" fillId="8" borderId="19" xfId="2" applyNumberFormat="1" applyFont="1" applyFill="1" applyBorder="1" applyAlignment="1" applyProtection="1">
      <alignment horizontal="center" vertical="center"/>
    </xf>
    <xf numFmtId="167" fontId="3" fillId="8" borderId="11" xfId="2" applyNumberFormat="1" applyFont="1" applyFill="1" applyBorder="1" applyAlignment="1" applyProtection="1">
      <alignment horizontal="center" vertical="center"/>
    </xf>
    <xf numFmtId="167" fontId="3" fillId="8" borderId="10" xfId="2" applyNumberFormat="1" applyFont="1" applyFill="1" applyBorder="1" applyAlignment="1" applyProtection="1">
      <alignment horizontal="center" vertical="center"/>
    </xf>
    <xf numFmtId="167" fontId="3" fillId="8" borderId="18" xfId="2" applyNumberFormat="1" applyFont="1" applyFill="1" applyBorder="1" applyAlignment="1" applyProtection="1">
      <alignment horizontal="center" vertical="center"/>
    </xf>
    <xf numFmtId="167" fontId="4" fillId="8" borderId="26" xfId="2" applyNumberFormat="1" applyFont="1" applyFill="1" applyBorder="1" applyAlignment="1" applyProtection="1">
      <alignment horizontal="right" vertical="center"/>
    </xf>
    <xf numFmtId="167" fontId="4" fillId="8" borderId="27" xfId="2" applyNumberFormat="1" applyFont="1" applyFill="1" applyBorder="1" applyAlignment="1" applyProtection="1">
      <alignment horizontal="right" vertical="center"/>
    </xf>
    <xf numFmtId="167" fontId="4" fillId="8" borderId="28" xfId="2" applyNumberFormat="1" applyFont="1" applyFill="1" applyBorder="1" applyAlignment="1" applyProtection="1">
      <alignment horizontal="right" vertical="center"/>
    </xf>
    <xf numFmtId="167" fontId="4" fillId="8" borderId="2" xfId="2" applyNumberFormat="1" applyFont="1" applyFill="1" applyBorder="1" applyAlignment="1" applyProtection="1">
      <alignment horizontal="center" vertical="center"/>
    </xf>
    <xf numFmtId="167" fontId="4" fillId="8" borderId="3" xfId="2" applyNumberFormat="1" applyFont="1" applyFill="1" applyBorder="1" applyAlignment="1" applyProtection="1">
      <alignment horizontal="center" vertical="center"/>
    </xf>
    <xf numFmtId="167" fontId="4" fillId="8" borderId="22" xfId="2" applyNumberFormat="1" applyFont="1" applyFill="1" applyBorder="1" applyAlignment="1" applyProtection="1">
      <alignment horizontal="center" vertical="center"/>
    </xf>
    <xf numFmtId="167" fontId="4" fillId="8" borderId="41" xfId="2" applyNumberFormat="1" applyFont="1" applyFill="1" applyBorder="1" applyAlignment="1" applyProtection="1">
      <alignment horizontal="center" vertical="center"/>
    </xf>
    <xf numFmtId="167" fontId="4" fillId="8" borderId="42" xfId="2" applyNumberFormat="1" applyFont="1" applyFill="1" applyBorder="1" applyAlignment="1" applyProtection="1">
      <alignment horizontal="center" vertical="center"/>
    </xf>
    <xf numFmtId="164" fontId="3" fillId="8" borderId="31" xfId="1" applyFont="1" applyFill="1" applyBorder="1" applyAlignment="1" applyProtection="1">
      <alignment horizontal="center" vertical="center" wrapText="1"/>
    </xf>
    <xf numFmtId="164" fontId="3" fillId="8" borderId="40" xfId="1" applyFont="1" applyFill="1" applyBorder="1" applyAlignment="1" applyProtection="1">
      <alignment horizontal="center" vertical="center" wrapText="1"/>
    </xf>
    <xf numFmtId="167" fontId="3" fillId="8" borderId="31" xfId="2" applyNumberFormat="1" applyFont="1" applyFill="1" applyBorder="1" applyAlignment="1" applyProtection="1">
      <alignment horizontal="center" vertical="center"/>
    </xf>
    <xf numFmtId="166" fontId="4" fillId="8" borderId="43" xfId="2" applyNumberFormat="1" applyFont="1" applyFill="1" applyBorder="1" applyAlignment="1" applyProtection="1">
      <alignment horizontal="center" vertical="center" wrapText="1"/>
    </xf>
    <xf numFmtId="166" fontId="4" fillId="8" borderId="44" xfId="2" applyNumberFormat="1" applyFont="1" applyFill="1" applyBorder="1" applyAlignment="1" applyProtection="1">
      <alignment horizontal="center" vertical="center"/>
    </xf>
    <xf numFmtId="167" fontId="4" fillId="8" borderId="44" xfId="2" applyNumberFormat="1" applyFont="1" applyFill="1" applyBorder="1" applyAlignment="1" applyProtection="1">
      <alignment horizontal="center" vertical="center"/>
    </xf>
    <xf numFmtId="167" fontId="4" fillId="8" borderId="40" xfId="2" applyNumberFormat="1" applyFont="1" applyFill="1" applyBorder="1" applyAlignment="1" applyProtection="1">
      <alignment horizontal="center" vertical="center"/>
    </xf>
    <xf numFmtId="167" fontId="3" fillId="8" borderId="43" xfId="2" applyNumberFormat="1" applyFont="1" applyFill="1" applyBorder="1" applyAlignment="1" applyProtection="1">
      <alignment horizontal="center" vertical="center"/>
    </xf>
    <xf numFmtId="167" fontId="4" fillId="8" borderId="39" xfId="2" applyNumberFormat="1" applyFont="1" applyFill="1" applyBorder="1" applyAlignment="1" applyProtection="1">
      <alignment horizontal="right" vertical="center"/>
    </xf>
    <xf numFmtId="167" fontId="4" fillId="8" borderId="45" xfId="2" applyNumberFormat="1" applyFont="1" applyFill="1" applyBorder="1" applyAlignment="1" applyProtection="1">
      <alignment horizontal="right" vertical="center"/>
    </xf>
    <xf numFmtId="167" fontId="3" fillId="8" borderId="42" xfId="2" applyNumberFormat="1" applyFont="1" applyFill="1" applyBorder="1" applyAlignment="1" applyProtection="1">
      <alignment horizontal="center" vertical="center"/>
    </xf>
    <xf numFmtId="167" fontId="3" fillId="8" borderId="41" xfId="2" applyNumberFormat="1" applyFont="1" applyFill="1" applyBorder="1" applyAlignment="1" applyProtection="1">
      <alignment horizontal="center" vertical="center"/>
    </xf>
    <xf numFmtId="167" fontId="4" fillId="8" borderId="44" xfId="2" applyNumberFormat="1" applyFont="1" applyFill="1" applyBorder="1" applyAlignment="1" applyProtection="1">
      <alignment horizontal="right" vertical="center"/>
    </xf>
    <xf numFmtId="167" fontId="4" fillId="8" borderId="45" xfId="2" applyNumberFormat="1" applyFont="1" applyFill="1" applyBorder="1" applyAlignment="1" applyProtection="1">
      <alignment horizontal="center" vertical="center"/>
    </xf>
    <xf numFmtId="0" fontId="16" fillId="7" borderId="1" xfId="0" applyFont="1" applyFill="1" applyBorder="1" applyAlignment="1">
      <alignment horizontal="right" vertical="center" wrapText="1"/>
    </xf>
    <xf numFmtId="0" fontId="16" fillId="7" borderId="1" xfId="0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horizontal="left" vertical="center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1" fontId="9" fillId="3" borderId="23" xfId="0" applyNumberFormat="1" applyFont="1" applyFill="1" applyBorder="1" applyAlignment="1">
      <alignment horizontal="center" vertical="center" wrapText="1"/>
    </xf>
    <xf numFmtId="1" fontId="9" fillId="3" borderId="24" xfId="0" applyNumberFormat="1" applyFont="1" applyFill="1" applyBorder="1" applyAlignment="1">
      <alignment horizontal="center" vertical="center" wrapText="1"/>
    </xf>
    <xf numFmtId="1" fontId="9" fillId="3" borderId="25" xfId="0" applyNumberFormat="1" applyFont="1" applyFill="1" applyBorder="1" applyAlignment="1">
      <alignment horizontal="center" vertical="center" wrapText="1"/>
    </xf>
    <xf numFmtId="164" fontId="3" fillId="2" borderId="32" xfId="1" applyFont="1" applyFill="1" applyBorder="1" applyAlignment="1" applyProtection="1">
      <alignment horizontal="center" vertical="center" wrapText="1"/>
    </xf>
    <xf numFmtId="164" fontId="3" fillId="2" borderId="30" xfId="1" applyFont="1" applyFill="1" applyBorder="1" applyAlignment="1" applyProtection="1">
      <alignment horizontal="center" vertical="center" wrapText="1"/>
    </xf>
    <xf numFmtId="164" fontId="3" fillId="2" borderId="29" xfId="1" applyFont="1" applyFill="1" applyBorder="1" applyAlignment="1" applyProtection="1">
      <alignment horizontal="center" vertical="center" wrapText="1"/>
    </xf>
  </cellXfs>
  <cellStyles count="5">
    <cellStyle name="Comma" xfId="2" builtinId="3"/>
    <cellStyle name="Comma [0]" xfId="1" builtinId="6"/>
    <cellStyle name="Normal" xfId="0" builtinId="0"/>
    <cellStyle name="Normal 2 3" xfId="3" xr:uid="{00000000-0005-0000-0000-000003000000}"/>
    <cellStyle name="Percent" xfId="4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A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974651</xdr:colOff>
      <xdr:row>6</xdr:row>
      <xdr:rowOff>18752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95313" y="583406"/>
          <a:ext cx="974651" cy="8045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zoomScale="83" zoomScaleNormal="83" workbookViewId="0">
      <selection activeCell="E16" sqref="E16"/>
    </sheetView>
  </sheetViews>
  <sheetFormatPr defaultRowHeight="14.4"/>
  <cols>
    <col min="1" max="1" width="2.6640625" bestFit="1" customWidth="1"/>
    <col min="2" max="2" width="52.44140625" bestFit="1" customWidth="1"/>
    <col min="3" max="3" width="17.44140625" bestFit="1" customWidth="1"/>
    <col min="4" max="4" width="28.88671875" bestFit="1" customWidth="1"/>
    <col min="5" max="5" width="57.88671875" bestFit="1" customWidth="1"/>
  </cols>
  <sheetData>
    <row r="1" spans="1:5">
      <c r="A1" s="84" t="s">
        <v>97</v>
      </c>
      <c r="B1" s="84" t="s">
        <v>92</v>
      </c>
      <c r="C1" s="84" t="s">
        <v>98</v>
      </c>
      <c r="D1" s="84" t="s">
        <v>93</v>
      </c>
      <c r="E1" s="84" t="s">
        <v>99</v>
      </c>
    </row>
    <row r="2" spans="1:5">
      <c r="A2" s="82">
        <v>1</v>
      </c>
      <c r="B2" s="82" t="s">
        <v>100</v>
      </c>
      <c r="C2" s="82" t="s">
        <v>101</v>
      </c>
      <c r="D2" s="82" t="s">
        <v>91</v>
      </c>
      <c r="E2" s="82" t="s">
        <v>102</v>
      </c>
    </row>
    <row r="3" spans="1:5">
      <c r="A3" s="82">
        <v>2</v>
      </c>
      <c r="B3" s="82" t="s">
        <v>103</v>
      </c>
      <c r="C3" s="82" t="s">
        <v>104</v>
      </c>
      <c r="D3" s="82" t="s">
        <v>91</v>
      </c>
      <c r="E3" s="82" t="s">
        <v>105</v>
      </c>
    </row>
    <row r="4" spans="1:5">
      <c r="A4" s="82">
        <v>3</v>
      </c>
      <c r="B4" s="82" t="s">
        <v>106</v>
      </c>
      <c r="C4" s="82" t="s">
        <v>104</v>
      </c>
      <c r="D4" s="82" t="s">
        <v>91</v>
      </c>
      <c r="E4" s="82" t="s">
        <v>105</v>
      </c>
    </row>
    <row r="5" spans="1:5">
      <c r="A5" s="82">
        <v>4</v>
      </c>
      <c r="B5" s="82" t="s">
        <v>107</v>
      </c>
      <c r="C5" s="82" t="s">
        <v>101</v>
      </c>
      <c r="D5" s="82" t="s">
        <v>91</v>
      </c>
      <c r="E5" s="82" t="s">
        <v>105</v>
      </c>
    </row>
    <row r="6" spans="1:5">
      <c r="A6" s="82">
        <v>5</v>
      </c>
      <c r="B6" s="82" t="s">
        <v>108</v>
      </c>
      <c r="C6" s="82" t="s">
        <v>101</v>
      </c>
      <c r="D6" s="82" t="s">
        <v>91</v>
      </c>
      <c r="E6" s="82" t="s">
        <v>105</v>
      </c>
    </row>
    <row r="7" spans="1:5" ht="24">
      <c r="A7" s="82">
        <v>6</v>
      </c>
      <c r="B7" s="82" t="s">
        <v>109</v>
      </c>
      <c r="C7" s="83" t="s">
        <v>101</v>
      </c>
      <c r="D7" s="83" t="s">
        <v>91</v>
      </c>
      <c r="E7" s="82" t="s">
        <v>110</v>
      </c>
    </row>
    <row r="8" spans="1:5" ht="24">
      <c r="A8" s="82">
        <v>7</v>
      </c>
      <c r="B8" s="83" t="s">
        <v>111</v>
      </c>
      <c r="C8" s="83" t="s">
        <v>101</v>
      </c>
      <c r="D8" s="83" t="s">
        <v>91</v>
      </c>
      <c r="E8" s="82" t="s">
        <v>112</v>
      </c>
    </row>
    <row r="9" spans="1:5">
      <c r="A9" s="82">
        <v>8</v>
      </c>
      <c r="B9" s="82" t="s">
        <v>113</v>
      </c>
      <c r="C9" s="82" t="s">
        <v>114</v>
      </c>
      <c r="D9" s="82" t="s">
        <v>91</v>
      </c>
      <c r="E9" s="82" t="s">
        <v>115</v>
      </c>
    </row>
    <row r="10" spans="1:5">
      <c r="A10" s="82">
        <v>9</v>
      </c>
      <c r="B10" s="82" t="s">
        <v>116</v>
      </c>
      <c r="C10" s="82" t="s">
        <v>114</v>
      </c>
      <c r="D10" s="82" t="s">
        <v>91</v>
      </c>
      <c r="E10" s="82" t="s">
        <v>105</v>
      </c>
    </row>
    <row r="11" spans="1:5">
      <c r="A11" s="82">
        <v>10</v>
      </c>
      <c r="B11" s="82" t="s">
        <v>117</v>
      </c>
      <c r="C11" s="82" t="s">
        <v>118</v>
      </c>
      <c r="D11" s="82" t="s">
        <v>91</v>
      </c>
      <c r="E11" s="82" t="s">
        <v>105</v>
      </c>
    </row>
    <row r="12" spans="1:5">
      <c r="A12" s="82">
        <v>11</v>
      </c>
      <c r="B12" s="82" t="s">
        <v>119</v>
      </c>
      <c r="C12" s="82" t="s">
        <v>101</v>
      </c>
      <c r="D12" s="82" t="s">
        <v>91</v>
      </c>
      <c r="E12" s="82" t="s">
        <v>105</v>
      </c>
    </row>
    <row r="13" spans="1:5">
      <c r="A13" s="82">
        <v>12</v>
      </c>
      <c r="B13" s="82" t="s">
        <v>120</v>
      </c>
      <c r="C13" s="82" t="s">
        <v>101</v>
      </c>
      <c r="D13" s="82" t="s">
        <v>91</v>
      </c>
      <c r="E13" s="82" t="s">
        <v>105</v>
      </c>
    </row>
    <row r="14" spans="1:5">
      <c r="A14" s="82">
        <v>13</v>
      </c>
      <c r="B14" s="82" t="s">
        <v>121</v>
      </c>
      <c r="C14" s="82" t="s">
        <v>104</v>
      </c>
      <c r="D14" s="82" t="s">
        <v>91</v>
      </c>
      <c r="E14" s="82" t="s">
        <v>105</v>
      </c>
    </row>
    <row r="15" spans="1:5">
      <c r="A15" s="82">
        <v>14</v>
      </c>
      <c r="B15" s="82" t="s">
        <v>122</v>
      </c>
      <c r="C15" s="82" t="s">
        <v>118</v>
      </c>
      <c r="D15" s="82" t="s">
        <v>91</v>
      </c>
      <c r="E15" s="82" t="s">
        <v>105</v>
      </c>
    </row>
    <row r="16" spans="1:5">
      <c r="A16" s="82">
        <v>15</v>
      </c>
      <c r="B16" s="82" t="s">
        <v>123</v>
      </c>
      <c r="C16" s="82" t="s">
        <v>118</v>
      </c>
      <c r="D16" s="82" t="s">
        <v>91</v>
      </c>
      <c r="E16" s="82" t="s">
        <v>105</v>
      </c>
    </row>
    <row r="17" spans="1:5">
      <c r="A17" s="82">
        <v>16</v>
      </c>
      <c r="B17" s="82" t="s">
        <v>124</v>
      </c>
      <c r="C17" s="82" t="s">
        <v>104</v>
      </c>
      <c r="D17" s="82" t="s">
        <v>125</v>
      </c>
      <c r="E17" s="82" t="s">
        <v>105</v>
      </c>
    </row>
    <row r="18" spans="1:5">
      <c r="A18" s="82">
        <v>17</v>
      </c>
      <c r="B18" s="82" t="s">
        <v>126</v>
      </c>
      <c r="C18" s="82" t="s">
        <v>114</v>
      </c>
      <c r="D18" s="82" t="s">
        <v>125</v>
      </c>
      <c r="E18" s="82" t="s">
        <v>105</v>
      </c>
    </row>
    <row r="19" spans="1:5">
      <c r="A19" s="82">
        <v>18</v>
      </c>
      <c r="B19" s="82" t="s">
        <v>127</v>
      </c>
      <c r="C19" s="82" t="s">
        <v>101</v>
      </c>
      <c r="D19" s="82" t="s">
        <v>128</v>
      </c>
      <c r="E19" s="82" t="s">
        <v>102</v>
      </c>
    </row>
    <row r="20" spans="1:5">
      <c r="A20" s="82">
        <v>19</v>
      </c>
      <c r="B20" s="82" t="s">
        <v>129</v>
      </c>
      <c r="C20" s="82" t="s">
        <v>104</v>
      </c>
      <c r="D20" s="82" t="s">
        <v>130</v>
      </c>
      <c r="E20" s="82" t="s">
        <v>102</v>
      </c>
    </row>
    <row r="21" spans="1:5">
      <c r="A21" s="82">
        <v>20</v>
      </c>
      <c r="B21" s="82" t="s">
        <v>131</v>
      </c>
      <c r="C21" s="82" t="s">
        <v>118</v>
      </c>
      <c r="D21" s="82" t="s">
        <v>130</v>
      </c>
      <c r="E21" s="82" t="s">
        <v>102</v>
      </c>
    </row>
    <row r="22" spans="1:5">
      <c r="A22" s="82">
        <v>21</v>
      </c>
      <c r="B22" s="82" t="s">
        <v>132</v>
      </c>
      <c r="C22" s="82" t="s">
        <v>104</v>
      </c>
      <c r="D22" s="82" t="s">
        <v>133</v>
      </c>
      <c r="E22" s="82" t="s">
        <v>105</v>
      </c>
    </row>
    <row r="23" spans="1:5">
      <c r="A23" s="82">
        <v>22</v>
      </c>
      <c r="B23" s="82" t="s">
        <v>134</v>
      </c>
      <c r="C23" s="82" t="s">
        <v>104</v>
      </c>
      <c r="D23" s="82" t="s">
        <v>133</v>
      </c>
      <c r="E23" s="82" t="s">
        <v>105</v>
      </c>
    </row>
    <row r="24" spans="1:5">
      <c r="A24" s="82">
        <v>23</v>
      </c>
      <c r="B24" s="82" t="s">
        <v>135</v>
      </c>
      <c r="C24" s="82" t="s">
        <v>118</v>
      </c>
      <c r="D24" s="82" t="s">
        <v>133</v>
      </c>
      <c r="E24" s="82" t="s">
        <v>105</v>
      </c>
    </row>
    <row r="25" spans="1:5">
      <c r="A25" s="82">
        <v>24</v>
      </c>
      <c r="B25" s="82" t="s">
        <v>136</v>
      </c>
      <c r="C25" s="82" t="s">
        <v>101</v>
      </c>
      <c r="D25" s="82" t="s">
        <v>137</v>
      </c>
      <c r="E25" s="82" t="s">
        <v>138</v>
      </c>
    </row>
    <row r="26" spans="1:5">
      <c r="A26" s="82">
        <v>25</v>
      </c>
      <c r="B26" s="82" t="s">
        <v>139</v>
      </c>
      <c r="C26" s="82" t="s">
        <v>114</v>
      </c>
      <c r="D26" s="82" t="s">
        <v>137</v>
      </c>
      <c r="E26" s="82" t="s">
        <v>105</v>
      </c>
    </row>
    <row r="27" spans="1:5">
      <c r="A27" s="82">
        <v>26</v>
      </c>
      <c r="B27" s="82" t="s">
        <v>140</v>
      </c>
      <c r="C27" s="82" t="s">
        <v>114</v>
      </c>
      <c r="D27" s="82" t="s">
        <v>137</v>
      </c>
      <c r="E27" s="82" t="s">
        <v>105</v>
      </c>
    </row>
    <row r="28" spans="1:5">
      <c r="A28" s="82">
        <v>27</v>
      </c>
      <c r="B28" s="82" t="s">
        <v>141</v>
      </c>
      <c r="C28" s="82" t="s">
        <v>101</v>
      </c>
      <c r="D28" s="82" t="s">
        <v>142</v>
      </c>
      <c r="E28" s="82" t="s">
        <v>105</v>
      </c>
    </row>
    <row r="29" spans="1:5">
      <c r="A29" s="82">
        <v>28</v>
      </c>
      <c r="B29" s="82" t="s">
        <v>143</v>
      </c>
      <c r="C29" s="82" t="s">
        <v>118</v>
      </c>
      <c r="D29" s="82" t="s">
        <v>142</v>
      </c>
      <c r="E29" s="82" t="s">
        <v>105</v>
      </c>
    </row>
    <row r="30" spans="1:5">
      <c r="A30" s="82">
        <v>29</v>
      </c>
      <c r="B30" s="82" t="s">
        <v>144</v>
      </c>
      <c r="C30" s="82" t="s">
        <v>101</v>
      </c>
      <c r="D30" s="82" t="s">
        <v>145</v>
      </c>
      <c r="E30" s="82" t="s">
        <v>146</v>
      </c>
    </row>
    <row r="31" spans="1:5">
      <c r="A31" s="82">
        <v>30</v>
      </c>
      <c r="B31" s="82" t="s">
        <v>147</v>
      </c>
      <c r="C31" s="82" t="s">
        <v>114</v>
      </c>
      <c r="D31" s="82" t="s">
        <v>148</v>
      </c>
      <c r="E31" s="82" t="s">
        <v>105</v>
      </c>
    </row>
    <row r="32" spans="1:5">
      <c r="A32" s="82">
        <v>31</v>
      </c>
      <c r="B32" s="82" t="s">
        <v>149</v>
      </c>
      <c r="C32" s="82" t="s">
        <v>104</v>
      </c>
      <c r="D32" s="82" t="s">
        <v>148</v>
      </c>
      <c r="E32" s="82" t="s">
        <v>105</v>
      </c>
    </row>
    <row r="33" spans="1:5">
      <c r="A33" s="82">
        <v>32</v>
      </c>
      <c r="B33" s="82" t="s">
        <v>150</v>
      </c>
      <c r="C33" s="82" t="s">
        <v>118</v>
      </c>
      <c r="D33" s="82" t="s">
        <v>148</v>
      </c>
      <c r="E33" s="82" t="s">
        <v>105</v>
      </c>
    </row>
    <row r="34" spans="1:5">
      <c r="A34" s="82">
        <v>33</v>
      </c>
      <c r="B34" s="82" t="s">
        <v>151</v>
      </c>
      <c r="C34" s="82" t="s">
        <v>118</v>
      </c>
      <c r="D34" s="82" t="s">
        <v>148</v>
      </c>
      <c r="E34" s="82" t="s">
        <v>105</v>
      </c>
    </row>
    <row r="35" spans="1:5">
      <c r="A35" s="82">
        <v>34</v>
      </c>
      <c r="B35" s="82" t="s">
        <v>152</v>
      </c>
      <c r="C35" s="82" t="s">
        <v>101</v>
      </c>
      <c r="D35" s="82" t="s">
        <v>148</v>
      </c>
      <c r="E35" s="82" t="s">
        <v>105</v>
      </c>
    </row>
    <row r="36" spans="1:5">
      <c r="A36" s="82">
        <v>35</v>
      </c>
      <c r="B36" s="82" t="s">
        <v>153</v>
      </c>
      <c r="C36" s="82" t="s">
        <v>118</v>
      </c>
      <c r="D36" s="82" t="s">
        <v>148</v>
      </c>
      <c r="E36" s="82" t="s">
        <v>105</v>
      </c>
    </row>
    <row r="37" spans="1:5">
      <c r="A37" s="82">
        <v>36</v>
      </c>
      <c r="B37" s="82" t="s">
        <v>154</v>
      </c>
      <c r="C37" s="82" t="s">
        <v>101</v>
      </c>
      <c r="D37" s="82" t="s">
        <v>148</v>
      </c>
      <c r="E37" s="82" t="s">
        <v>105</v>
      </c>
    </row>
    <row r="38" spans="1:5">
      <c r="A38" s="82">
        <v>37</v>
      </c>
      <c r="B38" s="82" t="s">
        <v>155</v>
      </c>
      <c r="C38" s="82" t="s">
        <v>104</v>
      </c>
      <c r="D38" s="82" t="s">
        <v>148</v>
      </c>
      <c r="E38" s="82" t="s">
        <v>156</v>
      </c>
    </row>
    <row r="39" spans="1:5">
      <c r="A39" s="82">
        <v>38</v>
      </c>
      <c r="B39" s="82" t="s">
        <v>157</v>
      </c>
      <c r="C39" s="82" t="s">
        <v>104</v>
      </c>
      <c r="D39" s="83" t="s">
        <v>158</v>
      </c>
      <c r="E39" s="82" t="s">
        <v>105</v>
      </c>
    </row>
    <row r="40" spans="1:5">
      <c r="A40" s="82">
        <v>39</v>
      </c>
      <c r="B40" s="82" t="s">
        <v>159</v>
      </c>
      <c r="C40" s="82" t="s">
        <v>118</v>
      </c>
      <c r="D40" s="83" t="s">
        <v>160</v>
      </c>
      <c r="E40" s="82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tabSelected="1" workbookViewId="0">
      <pane xSplit="7" ySplit="2" topLeftCell="Q3" activePane="bottomRight" state="frozen"/>
      <selection pane="topRight" activeCell="H1" sqref="H1"/>
      <selection pane="bottomLeft" activeCell="A3" sqref="A3"/>
      <selection pane="bottomRight" activeCell="X14" sqref="X14"/>
    </sheetView>
  </sheetViews>
  <sheetFormatPr defaultRowHeight="14.4"/>
  <cols>
    <col min="3" max="3" width="14.109375" bestFit="1" customWidth="1"/>
    <col min="4" max="4" width="12.44140625" bestFit="1" customWidth="1"/>
    <col min="5" max="5" width="20.33203125" bestFit="1" customWidth="1"/>
    <col min="7" max="7" width="12" style="1" bestFit="1" customWidth="1"/>
    <col min="8" max="8" width="10.33203125" style="1" bestFit="1" customWidth="1"/>
    <col min="9" max="9" width="8.88671875" style="1"/>
    <col min="10" max="10" width="8.88671875" style="76"/>
    <col min="11" max="11" width="8.88671875" style="1"/>
    <col min="12" max="12" width="8.88671875" style="76"/>
    <col min="13" max="13" width="8.88671875" style="1"/>
    <col min="14" max="15" width="8.88671875" style="76"/>
    <col min="16" max="20" width="8" style="1" customWidth="1"/>
    <col min="21" max="21" width="10" style="74" bestFit="1" customWidth="1"/>
    <col min="22" max="22" width="10.5546875" style="74" customWidth="1"/>
    <col min="23" max="23" width="13" style="74" hidden="1" customWidth="1"/>
    <col min="24" max="24" width="10.6640625" style="69" customWidth="1"/>
    <col min="25" max="25" width="10.6640625" style="72" customWidth="1"/>
    <col min="26" max="26" width="10.6640625" style="69" customWidth="1"/>
  </cols>
  <sheetData>
    <row r="1" spans="1:26" ht="24" customHeight="1">
      <c r="A1" s="292"/>
      <c r="B1" s="293"/>
      <c r="C1" s="293"/>
      <c r="D1" s="293"/>
      <c r="E1" s="293"/>
      <c r="F1" s="293"/>
      <c r="G1" s="294"/>
      <c r="H1" s="95"/>
      <c r="I1" s="295" t="s">
        <v>39</v>
      </c>
      <c r="J1" s="296"/>
      <c r="K1" s="296"/>
      <c r="L1" s="296"/>
      <c r="M1" s="296"/>
      <c r="N1" s="296"/>
      <c r="O1" s="297"/>
      <c r="P1" s="296" t="s">
        <v>74</v>
      </c>
      <c r="Q1" s="296"/>
      <c r="R1" s="296"/>
      <c r="S1" s="296"/>
      <c r="T1" s="296"/>
      <c r="U1" s="297"/>
      <c r="V1" s="70">
        <v>0.3</v>
      </c>
      <c r="W1" s="67"/>
      <c r="X1" s="67"/>
      <c r="Y1" s="70"/>
      <c r="Z1" s="67"/>
    </row>
    <row r="2" spans="1:26" ht="36">
      <c r="A2" s="22" t="s">
        <v>42</v>
      </c>
      <c r="B2" s="22" t="s">
        <v>43</v>
      </c>
      <c r="C2" s="22" t="s">
        <v>44</v>
      </c>
      <c r="D2" s="22" t="s">
        <v>45</v>
      </c>
      <c r="E2" s="23" t="s">
        <v>46</v>
      </c>
      <c r="F2" s="22" t="s">
        <v>47</v>
      </c>
      <c r="G2" s="30" t="s">
        <v>48</v>
      </c>
      <c r="H2" s="30" t="s">
        <v>212</v>
      </c>
      <c r="I2" s="30" t="s">
        <v>70</v>
      </c>
      <c r="J2" s="75" t="s">
        <v>78</v>
      </c>
      <c r="K2" s="30" t="s">
        <v>69</v>
      </c>
      <c r="L2" s="75" t="s">
        <v>79</v>
      </c>
      <c r="M2" s="30" t="s">
        <v>33</v>
      </c>
      <c r="N2" s="75" t="s">
        <v>80</v>
      </c>
      <c r="O2" s="75" t="s">
        <v>77</v>
      </c>
      <c r="P2" s="30" t="s">
        <v>72</v>
      </c>
      <c r="Q2" s="30" t="s">
        <v>89</v>
      </c>
      <c r="R2" s="30" t="s">
        <v>88</v>
      </c>
      <c r="S2" s="30" t="s">
        <v>73</v>
      </c>
      <c r="T2" s="30" t="s">
        <v>30</v>
      </c>
      <c r="U2" s="67" t="s">
        <v>76</v>
      </c>
      <c r="V2" s="67" t="s">
        <v>71</v>
      </c>
      <c r="W2" s="67" t="s">
        <v>75</v>
      </c>
      <c r="X2" s="67" t="s">
        <v>75</v>
      </c>
      <c r="Y2" s="70" t="s">
        <v>83</v>
      </c>
      <c r="Z2" s="67" t="s">
        <v>167</v>
      </c>
    </row>
    <row r="3" spans="1:26">
      <c r="A3" s="24">
        <v>1</v>
      </c>
      <c r="B3" s="27" t="s">
        <v>54</v>
      </c>
      <c r="C3" s="215" t="s">
        <v>58</v>
      </c>
      <c r="D3" s="26" t="s">
        <v>59</v>
      </c>
      <c r="E3" s="29" t="s">
        <v>60</v>
      </c>
      <c r="F3" s="24" t="s">
        <v>50</v>
      </c>
      <c r="G3" s="73">
        <v>10700</v>
      </c>
      <c r="H3" s="96">
        <v>44301</v>
      </c>
      <c r="I3" s="31" t="s">
        <v>81</v>
      </c>
      <c r="J3" s="73"/>
      <c r="K3" s="31">
        <v>2</v>
      </c>
      <c r="L3" s="73">
        <f>K3*'Wage Breakup'!$W$31</f>
        <v>27012</v>
      </c>
      <c r="M3" s="31" t="s">
        <v>81</v>
      </c>
      <c r="N3" s="73"/>
      <c r="O3" s="73">
        <f>N3+L3+J3</f>
        <v>27012</v>
      </c>
      <c r="P3" s="31">
        <v>1</v>
      </c>
      <c r="Q3" s="31"/>
      <c r="R3" s="31"/>
      <c r="S3" s="31">
        <v>1</v>
      </c>
      <c r="T3" s="31"/>
      <c r="U3" s="73">
        <f t="shared" ref="U3:U15" si="0">P3*2500+Q3*9000+R3*9000+S3*6000+T3*3500</f>
        <v>8500</v>
      </c>
      <c r="V3" s="73">
        <f t="shared" ref="V3:V15" si="1">$V$1*G3</f>
        <v>3210</v>
      </c>
      <c r="W3" s="73">
        <f t="shared" ref="W3:W15" si="2">V3+U3+O3</f>
        <v>38722</v>
      </c>
      <c r="X3" s="68">
        <f t="shared" ref="X3:X15" si="3">SUM(W3:W3)</f>
        <v>38722</v>
      </c>
      <c r="Y3" s="71">
        <f t="shared" ref="Y3:Y15" si="4">X3/G3</f>
        <v>3.6188785046728973</v>
      </c>
      <c r="Z3" s="68">
        <f t="shared" ref="Z3:Z15" si="5">3.25*G3</f>
        <v>34775</v>
      </c>
    </row>
    <row r="4" spans="1:26">
      <c r="A4" s="24">
        <v>2</v>
      </c>
      <c r="B4" s="27" t="s">
        <v>54</v>
      </c>
      <c r="C4" s="215" t="s">
        <v>58</v>
      </c>
      <c r="D4" s="24" t="s">
        <v>59</v>
      </c>
      <c r="E4" s="28" t="s">
        <v>61</v>
      </c>
      <c r="F4" s="24" t="s">
        <v>50</v>
      </c>
      <c r="G4" s="73">
        <v>13000</v>
      </c>
      <c r="H4" s="96">
        <v>44301</v>
      </c>
      <c r="I4" s="31" t="s">
        <v>81</v>
      </c>
      <c r="J4" s="73"/>
      <c r="K4" s="31">
        <v>2</v>
      </c>
      <c r="L4" s="73">
        <f>K4*'Wage Breakup'!$W$31</f>
        <v>27012</v>
      </c>
      <c r="M4" s="31" t="s">
        <v>81</v>
      </c>
      <c r="N4" s="73"/>
      <c r="O4" s="73">
        <f t="shared" ref="O4:O15" si="6">N4+L4+J4</f>
        <v>27012</v>
      </c>
      <c r="P4" s="31">
        <v>1</v>
      </c>
      <c r="Q4" s="31"/>
      <c r="R4" s="31"/>
      <c r="S4" s="31">
        <v>1</v>
      </c>
      <c r="T4" s="31"/>
      <c r="U4" s="73">
        <f t="shared" si="0"/>
        <v>8500</v>
      </c>
      <c r="V4" s="73">
        <f t="shared" si="1"/>
        <v>3900</v>
      </c>
      <c r="W4" s="73">
        <f t="shared" si="2"/>
        <v>39412</v>
      </c>
      <c r="X4" s="68">
        <f t="shared" si="3"/>
        <v>39412</v>
      </c>
      <c r="Y4" s="71">
        <f t="shared" si="4"/>
        <v>3.0316923076923077</v>
      </c>
      <c r="Z4" s="68">
        <f t="shared" si="5"/>
        <v>42250</v>
      </c>
    </row>
    <row r="5" spans="1:26">
      <c r="A5" s="24">
        <v>3</v>
      </c>
      <c r="B5" s="27" t="s">
        <v>54</v>
      </c>
      <c r="C5" s="215" t="s">
        <v>58</v>
      </c>
      <c r="D5" s="24" t="s">
        <v>59</v>
      </c>
      <c r="E5" s="28" t="s">
        <v>163</v>
      </c>
      <c r="F5" s="24" t="s">
        <v>50</v>
      </c>
      <c r="G5" s="73">
        <v>13166</v>
      </c>
      <c r="H5" s="96">
        <v>44301</v>
      </c>
      <c r="I5" s="31" t="s">
        <v>81</v>
      </c>
      <c r="J5" s="73"/>
      <c r="K5" s="31">
        <v>2</v>
      </c>
      <c r="L5" s="73">
        <f>K5*'Wage Breakup'!$W$31</f>
        <v>27012</v>
      </c>
      <c r="M5" s="31"/>
      <c r="N5" s="73"/>
      <c r="O5" s="73">
        <f t="shared" si="6"/>
        <v>27012</v>
      </c>
      <c r="P5" s="31">
        <v>1</v>
      </c>
      <c r="Q5" s="31"/>
      <c r="R5" s="31"/>
      <c r="S5" s="31">
        <v>1</v>
      </c>
      <c r="T5" s="31"/>
      <c r="U5" s="73">
        <f>P5*2500+Q5*9000+R5*9000+S5*6000+T5*3500</f>
        <v>8500</v>
      </c>
      <c r="V5" s="73">
        <f t="shared" si="1"/>
        <v>3949.7999999999997</v>
      </c>
      <c r="W5" s="73">
        <f>V5+U5+O5</f>
        <v>39461.800000000003</v>
      </c>
      <c r="X5" s="68">
        <f t="shared" si="3"/>
        <v>39461.800000000003</v>
      </c>
      <c r="Y5" s="71">
        <f t="shared" si="4"/>
        <v>2.9972504936958835</v>
      </c>
      <c r="Z5" s="68">
        <f t="shared" si="5"/>
        <v>42789.5</v>
      </c>
    </row>
    <row r="6" spans="1:26">
      <c r="A6" s="24">
        <v>4</v>
      </c>
      <c r="B6" s="27" t="s">
        <v>54</v>
      </c>
      <c r="C6" s="215" t="s">
        <v>58</v>
      </c>
      <c r="D6" s="24" t="s">
        <v>59</v>
      </c>
      <c r="E6" s="28" t="s">
        <v>164</v>
      </c>
      <c r="F6" s="24" t="s">
        <v>50</v>
      </c>
      <c r="G6" s="73">
        <v>24192</v>
      </c>
      <c r="H6" s="96">
        <v>44301</v>
      </c>
      <c r="I6" s="31" t="s">
        <v>81</v>
      </c>
      <c r="J6" s="73"/>
      <c r="K6" s="31">
        <v>3</v>
      </c>
      <c r="L6" s="73">
        <f>K6*'Wage Breakup'!$W$31</f>
        <v>40518</v>
      </c>
      <c r="M6" s="31"/>
      <c r="N6" s="73"/>
      <c r="O6" s="73">
        <f t="shared" si="6"/>
        <v>40518</v>
      </c>
      <c r="P6" s="31">
        <v>1</v>
      </c>
      <c r="Q6" s="31"/>
      <c r="R6" s="31"/>
      <c r="S6" s="31">
        <v>1</v>
      </c>
      <c r="T6" s="31"/>
      <c r="U6" s="73">
        <f>P6*2500+Q6*9000+R6*9000+S6*6000+T6*3500</f>
        <v>8500</v>
      </c>
      <c r="V6" s="73">
        <f t="shared" si="1"/>
        <v>7257.5999999999995</v>
      </c>
      <c r="W6" s="73">
        <f>V6+U6+O6</f>
        <v>56275.6</v>
      </c>
      <c r="X6" s="68">
        <f t="shared" si="3"/>
        <v>56275.6</v>
      </c>
      <c r="Y6" s="71">
        <f t="shared" si="4"/>
        <v>2.3262070105820105</v>
      </c>
      <c r="Z6" s="68">
        <f t="shared" si="5"/>
        <v>78624</v>
      </c>
    </row>
    <row r="7" spans="1:26">
      <c r="A7" s="24">
        <v>5</v>
      </c>
      <c r="B7" s="27" t="s">
        <v>54</v>
      </c>
      <c r="C7" s="215" t="s">
        <v>58</v>
      </c>
      <c r="D7" s="24" t="s">
        <v>59</v>
      </c>
      <c r="E7" s="28" t="s">
        <v>165</v>
      </c>
      <c r="F7" s="24" t="s">
        <v>50</v>
      </c>
      <c r="G7" s="73">
        <v>9200</v>
      </c>
      <c r="H7" s="96">
        <v>44301</v>
      </c>
      <c r="I7" s="31" t="s">
        <v>81</v>
      </c>
      <c r="J7" s="73"/>
      <c r="K7" s="31">
        <v>1</v>
      </c>
      <c r="L7" s="73">
        <f>K7*'Wage Breakup'!$W$31</f>
        <v>13506</v>
      </c>
      <c r="M7" s="31"/>
      <c r="N7" s="73"/>
      <c r="O7" s="73">
        <f t="shared" si="6"/>
        <v>13506</v>
      </c>
      <c r="P7" s="31">
        <v>1</v>
      </c>
      <c r="Q7" s="31"/>
      <c r="R7" s="31"/>
      <c r="S7" s="31">
        <v>1</v>
      </c>
      <c r="T7" s="31"/>
      <c r="U7" s="73">
        <f>P7*2500+Q7*9000+R7*9000+S7*6000+T7*3500</f>
        <v>8500</v>
      </c>
      <c r="V7" s="73">
        <f t="shared" si="1"/>
        <v>2760</v>
      </c>
      <c r="W7" s="73">
        <f>V7+U7+O7</f>
        <v>24766</v>
      </c>
      <c r="X7" s="68">
        <f t="shared" si="3"/>
        <v>24766</v>
      </c>
      <c r="Y7" s="71">
        <f t="shared" si="4"/>
        <v>2.6919565217391304</v>
      </c>
      <c r="Z7" s="68">
        <f t="shared" si="5"/>
        <v>29900</v>
      </c>
    </row>
    <row r="8" spans="1:26">
      <c r="A8" s="24">
        <v>6</v>
      </c>
      <c r="B8" s="27" t="s">
        <v>54</v>
      </c>
      <c r="C8" s="215" t="s">
        <v>58</v>
      </c>
      <c r="D8" s="81" t="s">
        <v>59</v>
      </c>
      <c r="E8" s="86" t="s">
        <v>166</v>
      </c>
      <c r="F8" s="81" t="s">
        <v>50</v>
      </c>
      <c r="G8" s="73">
        <v>1062</v>
      </c>
      <c r="H8" s="96">
        <v>44301</v>
      </c>
      <c r="I8" s="31" t="s">
        <v>81</v>
      </c>
      <c r="J8" s="73"/>
      <c r="K8" s="31">
        <v>1</v>
      </c>
      <c r="L8" s="73">
        <f>K8*'Wage Breakup'!$W$31</f>
        <v>13506</v>
      </c>
      <c r="M8" s="31"/>
      <c r="N8" s="73"/>
      <c r="O8" s="73">
        <f t="shared" si="6"/>
        <v>13506</v>
      </c>
      <c r="P8" s="31">
        <v>0</v>
      </c>
      <c r="Q8" s="31"/>
      <c r="R8" s="31"/>
      <c r="S8" s="31">
        <v>0</v>
      </c>
      <c r="T8" s="31"/>
      <c r="U8" s="73">
        <v>0</v>
      </c>
      <c r="V8" s="73">
        <f t="shared" si="1"/>
        <v>318.59999999999997</v>
      </c>
      <c r="W8" s="73">
        <f>V8+U8+O8</f>
        <v>13824.6</v>
      </c>
      <c r="X8" s="68">
        <f t="shared" si="3"/>
        <v>13824.6</v>
      </c>
      <c r="Y8" s="71">
        <f t="shared" si="4"/>
        <v>13.017514124293786</v>
      </c>
      <c r="Z8" s="68">
        <f t="shared" si="5"/>
        <v>3451.5</v>
      </c>
    </row>
    <row r="9" spans="1:26">
      <c r="A9" s="24">
        <v>7</v>
      </c>
      <c r="B9" s="24" t="s">
        <v>49</v>
      </c>
      <c r="C9" s="26" t="s">
        <v>51</v>
      </c>
      <c r="D9" s="26" t="s">
        <v>52</v>
      </c>
      <c r="E9" s="80" t="s">
        <v>53</v>
      </c>
      <c r="F9" s="24" t="s">
        <v>50</v>
      </c>
      <c r="G9" s="73">
        <v>20000</v>
      </c>
      <c r="H9" s="96">
        <v>44301</v>
      </c>
      <c r="I9" s="31" t="s">
        <v>81</v>
      </c>
      <c r="J9" s="73"/>
      <c r="K9" s="31">
        <v>3</v>
      </c>
      <c r="L9" s="73">
        <f>K9*'Wage Breakup'!J31</f>
        <v>43129.000110634122</v>
      </c>
      <c r="M9" s="31" t="s">
        <v>81</v>
      </c>
      <c r="N9" s="73"/>
      <c r="O9" s="73">
        <f t="shared" si="6"/>
        <v>43129.000110634122</v>
      </c>
      <c r="P9" s="31">
        <v>1</v>
      </c>
      <c r="Q9" s="31"/>
      <c r="R9" s="31"/>
      <c r="S9" s="31"/>
      <c r="T9" s="31">
        <v>1</v>
      </c>
      <c r="U9" s="73">
        <f t="shared" si="0"/>
        <v>6000</v>
      </c>
      <c r="V9" s="73">
        <f t="shared" si="1"/>
        <v>6000</v>
      </c>
      <c r="W9" s="73">
        <f t="shared" si="2"/>
        <v>55129.000110634122</v>
      </c>
      <c r="X9" s="68">
        <f t="shared" si="3"/>
        <v>55129.000110634122</v>
      </c>
      <c r="Y9" s="71">
        <f t="shared" si="4"/>
        <v>2.7564500055317063</v>
      </c>
      <c r="Z9" s="68">
        <f t="shared" si="5"/>
        <v>65000</v>
      </c>
    </row>
    <row r="10" spans="1:26">
      <c r="A10" s="24">
        <v>8</v>
      </c>
      <c r="B10" s="24" t="s">
        <v>49</v>
      </c>
      <c r="C10" s="24" t="s">
        <v>63</v>
      </c>
      <c r="D10" s="24" t="s">
        <v>64</v>
      </c>
      <c r="E10" s="25" t="s">
        <v>65</v>
      </c>
      <c r="F10" s="24" t="s">
        <v>50</v>
      </c>
      <c r="G10" s="73">
        <v>34500</v>
      </c>
      <c r="H10" s="96">
        <v>44301</v>
      </c>
      <c r="I10" s="31" t="s">
        <v>81</v>
      </c>
      <c r="J10" s="73"/>
      <c r="K10" s="31">
        <v>5</v>
      </c>
      <c r="L10" s="73">
        <f>K10*'Wage Breakup'!Q31</f>
        <v>62650</v>
      </c>
      <c r="M10" s="31"/>
      <c r="N10" s="73">
        <f>M10*'Wage Breakup'!P31</f>
        <v>0</v>
      </c>
      <c r="O10" s="73">
        <f t="shared" si="6"/>
        <v>62650</v>
      </c>
      <c r="P10" s="31">
        <v>1</v>
      </c>
      <c r="Q10" s="31"/>
      <c r="R10" s="31"/>
      <c r="S10" s="31">
        <v>1</v>
      </c>
      <c r="T10" s="31">
        <v>1</v>
      </c>
      <c r="U10" s="73">
        <f t="shared" si="0"/>
        <v>12000</v>
      </c>
      <c r="V10" s="73">
        <f t="shared" si="1"/>
        <v>10350</v>
      </c>
      <c r="W10" s="73">
        <f t="shared" si="2"/>
        <v>85000</v>
      </c>
      <c r="X10" s="68">
        <f t="shared" si="3"/>
        <v>85000</v>
      </c>
      <c r="Y10" s="71">
        <f t="shared" si="4"/>
        <v>2.4637681159420288</v>
      </c>
      <c r="Z10" s="68">
        <f t="shared" si="5"/>
        <v>112125</v>
      </c>
    </row>
    <row r="11" spans="1:26">
      <c r="A11" s="24">
        <v>9</v>
      </c>
      <c r="B11" s="24" t="s">
        <v>49</v>
      </c>
      <c r="C11" s="24" t="s">
        <v>63</v>
      </c>
      <c r="D11" s="24" t="s">
        <v>64</v>
      </c>
      <c r="E11" s="25" t="s">
        <v>162</v>
      </c>
      <c r="F11" s="24" t="s">
        <v>50</v>
      </c>
      <c r="G11" s="73">
        <v>8000</v>
      </c>
      <c r="H11" s="96">
        <v>44301</v>
      </c>
      <c r="I11" s="31" t="s">
        <v>81</v>
      </c>
      <c r="J11" s="73"/>
      <c r="K11" s="31">
        <v>1</v>
      </c>
      <c r="L11" s="73">
        <f>K11*'Wage Breakup'!Q31</f>
        <v>12530</v>
      </c>
      <c r="M11" s="31" t="s">
        <v>81</v>
      </c>
      <c r="N11" s="73"/>
      <c r="O11" s="73">
        <f t="shared" si="6"/>
        <v>12530</v>
      </c>
      <c r="P11" s="31"/>
      <c r="Q11" s="31"/>
      <c r="R11" s="31"/>
      <c r="S11" s="31"/>
      <c r="T11" s="31">
        <v>1</v>
      </c>
      <c r="U11" s="73">
        <f t="shared" si="0"/>
        <v>3500</v>
      </c>
      <c r="V11" s="73">
        <f t="shared" si="1"/>
        <v>2400</v>
      </c>
      <c r="W11" s="73">
        <f t="shared" si="2"/>
        <v>18430</v>
      </c>
      <c r="X11" s="68">
        <f t="shared" si="3"/>
        <v>18430</v>
      </c>
      <c r="Y11" s="71">
        <f t="shared" si="4"/>
        <v>2.30375</v>
      </c>
      <c r="Z11" s="68">
        <f t="shared" si="5"/>
        <v>26000</v>
      </c>
    </row>
    <row r="12" spans="1:26">
      <c r="A12" s="24">
        <v>10</v>
      </c>
      <c r="B12" s="27" t="s">
        <v>49</v>
      </c>
      <c r="C12" s="27" t="s">
        <v>51</v>
      </c>
      <c r="D12" s="27" t="s">
        <v>94</v>
      </c>
      <c r="E12" s="28" t="s">
        <v>94</v>
      </c>
      <c r="F12" s="24" t="s">
        <v>50</v>
      </c>
      <c r="G12" s="73">
        <v>8425</v>
      </c>
      <c r="H12" s="96">
        <v>44301</v>
      </c>
      <c r="I12" s="31" t="s">
        <v>81</v>
      </c>
      <c r="J12" s="73"/>
      <c r="K12" s="31">
        <v>1</v>
      </c>
      <c r="L12" s="73">
        <f>K12*'Wage Breakup'!J31</f>
        <v>14376.333370211374</v>
      </c>
      <c r="M12" s="31" t="s">
        <v>81</v>
      </c>
      <c r="N12" s="73"/>
      <c r="O12" s="73">
        <f t="shared" si="6"/>
        <v>14376.333370211374</v>
      </c>
      <c r="P12" s="31">
        <v>1</v>
      </c>
      <c r="Q12" s="31"/>
      <c r="R12" s="31"/>
      <c r="S12" s="31"/>
      <c r="T12" s="31">
        <v>1</v>
      </c>
      <c r="U12" s="73">
        <f t="shared" si="0"/>
        <v>6000</v>
      </c>
      <c r="V12" s="73">
        <f t="shared" si="1"/>
        <v>2527.5</v>
      </c>
      <c r="W12" s="73">
        <f t="shared" si="2"/>
        <v>22903.833370211374</v>
      </c>
      <c r="X12" s="68">
        <f t="shared" si="3"/>
        <v>22903.833370211374</v>
      </c>
      <c r="Y12" s="71">
        <f t="shared" si="4"/>
        <v>2.7185558896393323</v>
      </c>
      <c r="Z12" s="68">
        <f t="shared" si="5"/>
        <v>27381.25</v>
      </c>
    </row>
    <row r="13" spans="1:26">
      <c r="A13" s="24">
        <v>11</v>
      </c>
      <c r="B13" s="24" t="s">
        <v>49</v>
      </c>
      <c r="C13" s="24" t="s">
        <v>96</v>
      </c>
      <c r="D13" s="24" t="s">
        <v>95</v>
      </c>
      <c r="E13" s="25" t="s">
        <v>95</v>
      </c>
      <c r="F13" s="24" t="s">
        <v>50</v>
      </c>
      <c r="G13" s="73">
        <v>21500</v>
      </c>
      <c r="H13" s="96">
        <v>44301</v>
      </c>
      <c r="I13" s="31" t="s">
        <v>81</v>
      </c>
      <c r="J13" s="73"/>
      <c r="K13" s="31">
        <v>3</v>
      </c>
      <c r="L13" s="73">
        <f>K13*'Wage Breakup'!F31</f>
        <v>41946</v>
      </c>
      <c r="M13" s="31"/>
      <c r="N13" s="73">
        <f>M13*'Wage Breakup'!P33</f>
        <v>0</v>
      </c>
      <c r="O13" s="73">
        <f t="shared" si="6"/>
        <v>41946</v>
      </c>
      <c r="P13" s="31">
        <v>1</v>
      </c>
      <c r="Q13" s="31"/>
      <c r="R13" s="31"/>
      <c r="S13" s="31">
        <v>1</v>
      </c>
      <c r="T13" s="31">
        <v>1</v>
      </c>
      <c r="U13" s="73">
        <f t="shared" si="0"/>
        <v>12000</v>
      </c>
      <c r="V13" s="73">
        <f t="shared" si="1"/>
        <v>6450</v>
      </c>
      <c r="W13" s="73">
        <f t="shared" si="2"/>
        <v>60396</v>
      </c>
      <c r="X13" s="68">
        <f t="shared" si="3"/>
        <v>60396</v>
      </c>
      <c r="Y13" s="71">
        <f t="shared" si="4"/>
        <v>2.8091162790697672</v>
      </c>
      <c r="Z13" s="68">
        <f t="shared" si="5"/>
        <v>69875</v>
      </c>
    </row>
    <row r="14" spans="1:26">
      <c r="A14" s="24">
        <v>12</v>
      </c>
      <c r="B14" s="27" t="s">
        <v>62</v>
      </c>
      <c r="C14" s="214" t="s">
        <v>66</v>
      </c>
      <c r="D14" s="24" t="s">
        <v>67</v>
      </c>
      <c r="E14" s="81" t="s">
        <v>68</v>
      </c>
      <c r="F14" s="24" t="s">
        <v>50</v>
      </c>
      <c r="G14" s="73">
        <v>50000</v>
      </c>
      <c r="H14" s="96">
        <v>44301</v>
      </c>
      <c r="I14" s="31">
        <v>1</v>
      </c>
      <c r="J14" s="73">
        <f>I14*'Wage Breakup'!$T$31</f>
        <v>19282</v>
      </c>
      <c r="K14" s="31">
        <v>5</v>
      </c>
      <c r="L14" s="73">
        <f>K14*'Wage Breakup'!U31</f>
        <v>76450</v>
      </c>
      <c r="M14" s="31">
        <v>1</v>
      </c>
      <c r="N14" s="73">
        <f>M14*'Wage Breakup'!S31</f>
        <v>16097</v>
      </c>
      <c r="O14" s="73">
        <f t="shared" si="6"/>
        <v>111829</v>
      </c>
      <c r="P14" s="31">
        <v>1</v>
      </c>
      <c r="Q14" s="31"/>
      <c r="R14" s="31"/>
      <c r="S14" s="31">
        <v>1</v>
      </c>
      <c r="T14" s="31">
        <v>1</v>
      </c>
      <c r="U14" s="73">
        <f t="shared" si="0"/>
        <v>12000</v>
      </c>
      <c r="V14" s="73">
        <f t="shared" si="1"/>
        <v>15000</v>
      </c>
      <c r="W14" s="73">
        <f t="shared" si="2"/>
        <v>138829</v>
      </c>
      <c r="X14" s="68">
        <f t="shared" si="3"/>
        <v>138829</v>
      </c>
      <c r="Y14" s="71">
        <f t="shared" si="4"/>
        <v>2.77658</v>
      </c>
      <c r="Z14" s="68">
        <f t="shared" si="5"/>
        <v>162500</v>
      </c>
    </row>
    <row r="15" spans="1:26">
      <c r="A15" s="24">
        <v>13</v>
      </c>
      <c r="B15" s="24" t="s">
        <v>55</v>
      </c>
      <c r="C15" s="215" t="s">
        <v>56</v>
      </c>
      <c r="D15" s="24" t="s">
        <v>57</v>
      </c>
      <c r="E15" s="29" t="s">
        <v>170</v>
      </c>
      <c r="F15" s="24" t="s">
        <v>50</v>
      </c>
      <c r="G15" s="73">
        <v>87000</v>
      </c>
      <c r="H15" s="96">
        <v>44301</v>
      </c>
      <c r="I15" s="31">
        <v>1</v>
      </c>
      <c r="J15" s="73">
        <f>'Wage Breakup'!$M$31*I15</f>
        <v>22186.087541146968</v>
      </c>
      <c r="K15" s="31">
        <v>6</v>
      </c>
      <c r="L15" s="73">
        <f>K15*'Wage Breakup'!$N$31</f>
        <v>114355.67786589777</v>
      </c>
      <c r="M15" s="31">
        <v>1</v>
      </c>
      <c r="N15" s="73">
        <f>M15*'Wage Breakup'!$L$31</f>
        <v>20576.36829590096</v>
      </c>
      <c r="O15" s="73">
        <f t="shared" si="6"/>
        <v>157118.13370294569</v>
      </c>
      <c r="P15" s="31">
        <v>1</v>
      </c>
      <c r="Q15" s="31">
        <v>1</v>
      </c>
      <c r="R15" s="31">
        <v>1</v>
      </c>
      <c r="S15" s="31"/>
      <c r="T15" s="31">
        <v>1</v>
      </c>
      <c r="U15" s="73">
        <f t="shared" si="0"/>
        <v>24000</v>
      </c>
      <c r="V15" s="73">
        <f t="shared" si="1"/>
        <v>26100</v>
      </c>
      <c r="W15" s="73">
        <f t="shared" si="2"/>
        <v>207218.13370294569</v>
      </c>
      <c r="X15" s="68">
        <f t="shared" si="3"/>
        <v>207218.13370294569</v>
      </c>
      <c r="Y15" s="71">
        <f t="shared" si="4"/>
        <v>2.3818176287694905</v>
      </c>
      <c r="Z15" s="68">
        <f t="shared" si="5"/>
        <v>282750</v>
      </c>
    </row>
    <row r="16" spans="1:26">
      <c r="A16" s="195">
        <v>14</v>
      </c>
      <c r="B16" s="184" t="s">
        <v>49</v>
      </c>
      <c r="C16" s="81" t="s">
        <v>96</v>
      </c>
      <c r="D16" s="81" t="s">
        <v>213</v>
      </c>
      <c r="E16" s="81" t="s">
        <v>214</v>
      </c>
      <c r="F16" s="81" t="s">
        <v>50</v>
      </c>
      <c r="G16" s="185">
        <v>9000</v>
      </c>
      <c r="H16" s="186">
        <v>44348</v>
      </c>
      <c r="I16" s="31" t="s">
        <v>81</v>
      </c>
      <c r="J16" s="73"/>
      <c r="K16" s="31">
        <v>2</v>
      </c>
      <c r="L16" s="73">
        <f>'Wage Breakup'!D31*K16</f>
        <v>26878</v>
      </c>
      <c r="M16" s="31" t="s">
        <v>81</v>
      </c>
      <c r="N16" s="73"/>
      <c r="O16" s="73">
        <f>N16+L16+J16</f>
        <v>26878</v>
      </c>
      <c r="P16" s="31"/>
      <c r="Q16" s="31"/>
      <c r="R16" s="31"/>
      <c r="S16" s="31"/>
      <c r="T16" s="31"/>
      <c r="U16" s="73">
        <f>P16*2500+Q16*9000+R16*9000+S16*6000+T16*3500</f>
        <v>0</v>
      </c>
      <c r="V16" s="73">
        <f>$V$1*G16</f>
        <v>2700</v>
      </c>
      <c r="W16" s="73">
        <f>V16+U16+O16</f>
        <v>29578</v>
      </c>
      <c r="X16" s="68">
        <f>SUM(W16:W16)</f>
        <v>29578</v>
      </c>
      <c r="Y16" s="71">
        <f>X16/G16</f>
        <v>3.2864444444444443</v>
      </c>
      <c r="Z16" s="68">
        <f>3.25*G16</f>
        <v>29250</v>
      </c>
    </row>
    <row r="17" spans="1:26" s="115" customFormat="1">
      <c r="A17" s="195">
        <v>15</v>
      </c>
      <c r="B17" s="195" t="s">
        <v>54</v>
      </c>
      <c r="C17" s="195" t="s">
        <v>222</v>
      </c>
      <c r="D17" s="195" t="s">
        <v>223</v>
      </c>
      <c r="E17" s="196" t="s">
        <v>224</v>
      </c>
      <c r="F17" s="195" t="s">
        <v>50</v>
      </c>
      <c r="G17" s="197">
        <v>10700</v>
      </c>
      <c r="H17" s="198">
        <v>44409</v>
      </c>
      <c r="I17" s="199" t="s">
        <v>81</v>
      </c>
      <c r="J17" s="197"/>
      <c r="K17" s="199">
        <v>2</v>
      </c>
      <c r="L17" s="197">
        <f>'Wage Breakup'!$Y$31*K17</f>
        <v>24444</v>
      </c>
      <c r="M17" s="199" t="s">
        <v>81</v>
      </c>
      <c r="N17" s="197"/>
      <c r="O17" s="197">
        <f t="shared" ref="O17:O21" si="7">N17+L17+J17</f>
        <v>24444</v>
      </c>
      <c r="P17" s="199"/>
      <c r="Q17" s="199"/>
      <c r="R17" s="199"/>
      <c r="S17" s="199"/>
      <c r="T17" s="199">
        <v>1</v>
      </c>
      <c r="U17" s="197">
        <f t="shared" ref="U17:U21" si="8">P17*2500+Q17*9000+R17*9000+S17*6000+T17*3500</f>
        <v>3500</v>
      </c>
      <c r="V17" s="197">
        <f t="shared" ref="V17:V21" si="9">$V$1*G17</f>
        <v>3210</v>
      </c>
      <c r="W17" s="197">
        <f t="shared" ref="W17:W21" si="10">V17+U17+O17</f>
        <v>31154</v>
      </c>
      <c r="X17" s="200">
        <f t="shared" ref="X17:X21" si="11">SUM(W17:W17)</f>
        <v>31154</v>
      </c>
      <c r="Y17" s="201">
        <f t="shared" ref="Y17:Y21" si="12">X17/G17</f>
        <v>2.911588785046729</v>
      </c>
      <c r="Z17" s="200">
        <f t="shared" ref="Z17:Z21" si="13">3.25*G17</f>
        <v>34775</v>
      </c>
    </row>
    <row r="18" spans="1:26" s="115" customFormat="1">
      <c r="A18" s="195">
        <v>16</v>
      </c>
      <c r="B18" s="202" t="s">
        <v>54</v>
      </c>
      <c r="C18" s="202" t="s">
        <v>227</v>
      </c>
      <c r="D18" s="202" t="s">
        <v>228</v>
      </c>
      <c r="E18" s="203" t="s">
        <v>230</v>
      </c>
      <c r="F18" s="195" t="s">
        <v>50</v>
      </c>
      <c r="G18" s="197">
        <v>3200</v>
      </c>
      <c r="H18" s="198">
        <v>44409</v>
      </c>
      <c r="I18" s="199" t="s">
        <v>81</v>
      </c>
      <c r="J18" s="197"/>
      <c r="K18" s="199">
        <v>1</v>
      </c>
      <c r="L18" s="197">
        <f>K18*'Wage Breakup'!$AC$31</f>
        <v>12895</v>
      </c>
      <c r="M18" s="199" t="s">
        <v>81</v>
      </c>
      <c r="N18" s="197"/>
      <c r="O18" s="197">
        <f t="shared" si="7"/>
        <v>12895</v>
      </c>
      <c r="P18" s="199"/>
      <c r="Q18" s="199"/>
      <c r="R18" s="199"/>
      <c r="S18" s="199"/>
      <c r="T18" s="199">
        <v>1</v>
      </c>
      <c r="U18" s="197">
        <f t="shared" si="8"/>
        <v>3500</v>
      </c>
      <c r="V18" s="197">
        <f t="shared" si="9"/>
        <v>960</v>
      </c>
      <c r="W18" s="197">
        <f t="shared" si="10"/>
        <v>17355</v>
      </c>
      <c r="X18" s="200">
        <f t="shared" si="11"/>
        <v>17355</v>
      </c>
      <c r="Y18" s="201">
        <f t="shared" si="12"/>
        <v>5.4234375000000004</v>
      </c>
      <c r="Z18" s="200">
        <f t="shared" si="13"/>
        <v>10400</v>
      </c>
    </row>
    <row r="19" spans="1:26" s="115" customFormat="1">
      <c r="A19" s="195">
        <v>17</v>
      </c>
      <c r="B19" s="195" t="s">
        <v>54</v>
      </c>
      <c r="C19" s="202" t="s">
        <v>227</v>
      </c>
      <c r="D19" s="195" t="s">
        <v>229</v>
      </c>
      <c r="E19" s="196" t="s">
        <v>231</v>
      </c>
      <c r="F19" s="195" t="s">
        <v>50</v>
      </c>
      <c r="G19" s="197">
        <v>7000</v>
      </c>
      <c r="H19" s="198">
        <v>44409</v>
      </c>
      <c r="I19" s="199" t="s">
        <v>81</v>
      </c>
      <c r="J19" s="197"/>
      <c r="K19" s="199">
        <v>1</v>
      </c>
      <c r="L19" s="197">
        <f>K19*'Wage Breakup'!$AC$31</f>
        <v>12895</v>
      </c>
      <c r="M19" s="199" t="s">
        <v>81</v>
      </c>
      <c r="N19" s="197"/>
      <c r="O19" s="197">
        <f t="shared" si="7"/>
        <v>12895</v>
      </c>
      <c r="P19" s="199"/>
      <c r="Q19" s="199"/>
      <c r="R19" s="199"/>
      <c r="S19" s="199"/>
      <c r="T19" s="199"/>
      <c r="U19" s="197">
        <f t="shared" si="8"/>
        <v>0</v>
      </c>
      <c r="V19" s="197">
        <f t="shared" si="9"/>
        <v>2100</v>
      </c>
      <c r="W19" s="197">
        <f t="shared" si="10"/>
        <v>14995</v>
      </c>
      <c r="X19" s="200">
        <f t="shared" si="11"/>
        <v>14995</v>
      </c>
      <c r="Y19" s="201">
        <f t="shared" si="12"/>
        <v>2.1421428571428573</v>
      </c>
      <c r="Z19" s="200">
        <f t="shared" si="13"/>
        <v>22750</v>
      </c>
    </row>
    <row r="20" spans="1:26" s="115" customFormat="1">
      <c r="A20" s="195">
        <v>18</v>
      </c>
      <c r="B20" s="202" t="s">
        <v>54</v>
      </c>
      <c r="C20" s="195" t="s">
        <v>58</v>
      </c>
      <c r="D20" s="195" t="s">
        <v>235</v>
      </c>
      <c r="E20" s="195" t="s">
        <v>232</v>
      </c>
      <c r="F20" s="195" t="s">
        <v>50</v>
      </c>
      <c r="G20" s="197">
        <v>10000</v>
      </c>
      <c r="H20" s="198">
        <v>44409</v>
      </c>
      <c r="I20" s="199" t="s">
        <v>81</v>
      </c>
      <c r="J20" s="197"/>
      <c r="K20" s="199">
        <v>1</v>
      </c>
      <c r="L20" s="197">
        <f>'Wage Breakup'!$W$31*K20</f>
        <v>13506</v>
      </c>
      <c r="M20" s="199" t="s">
        <v>81</v>
      </c>
      <c r="N20" s="197"/>
      <c r="O20" s="197">
        <f t="shared" si="7"/>
        <v>13506</v>
      </c>
      <c r="P20" s="199"/>
      <c r="Q20" s="199"/>
      <c r="R20" s="199"/>
      <c r="S20" s="199"/>
      <c r="T20" s="199">
        <v>1</v>
      </c>
      <c r="U20" s="197">
        <f t="shared" si="8"/>
        <v>3500</v>
      </c>
      <c r="V20" s="197">
        <f t="shared" si="9"/>
        <v>3000</v>
      </c>
      <c r="W20" s="197">
        <f t="shared" si="10"/>
        <v>20006</v>
      </c>
      <c r="X20" s="200">
        <f t="shared" si="11"/>
        <v>20006</v>
      </c>
      <c r="Y20" s="201">
        <f t="shared" si="12"/>
        <v>2.0005999999999999</v>
      </c>
      <c r="Z20" s="200">
        <f t="shared" si="13"/>
        <v>32500</v>
      </c>
    </row>
    <row r="21" spans="1:26" s="115" customFormat="1">
      <c r="A21" s="195">
        <v>19</v>
      </c>
      <c r="B21" s="195" t="s">
        <v>54</v>
      </c>
      <c r="C21" s="202" t="s">
        <v>236</v>
      </c>
      <c r="D21" s="195" t="s">
        <v>237</v>
      </c>
      <c r="E21" s="204" t="s">
        <v>233</v>
      </c>
      <c r="F21" s="195" t="s">
        <v>50</v>
      </c>
      <c r="G21" s="197">
        <v>11000</v>
      </c>
      <c r="H21" s="198">
        <v>44409</v>
      </c>
      <c r="I21" s="199" t="s">
        <v>81</v>
      </c>
      <c r="J21" s="197"/>
      <c r="K21" s="199">
        <v>2</v>
      </c>
      <c r="L21" s="197">
        <f>K21*'Wage Breakup'!$AA$31</f>
        <v>25770</v>
      </c>
      <c r="M21" s="199" t="s">
        <v>81</v>
      </c>
      <c r="N21" s="197"/>
      <c r="O21" s="197">
        <f t="shared" si="7"/>
        <v>25770</v>
      </c>
      <c r="P21" s="199"/>
      <c r="Q21" s="199"/>
      <c r="R21" s="199"/>
      <c r="S21" s="199"/>
      <c r="T21" s="199">
        <v>1</v>
      </c>
      <c r="U21" s="197">
        <f t="shared" si="8"/>
        <v>3500</v>
      </c>
      <c r="V21" s="197">
        <f t="shared" si="9"/>
        <v>3300</v>
      </c>
      <c r="W21" s="197">
        <f t="shared" si="10"/>
        <v>32570</v>
      </c>
      <c r="X21" s="200">
        <f t="shared" si="11"/>
        <v>32570</v>
      </c>
      <c r="Y21" s="201">
        <f t="shared" si="12"/>
        <v>2.9609090909090909</v>
      </c>
      <c r="Z21" s="200">
        <f t="shared" si="13"/>
        <v>35750</v>
      </c>
    </row>
    <row r="22" spans="1:26" s="115" customFormat="1">
      <c r="A22" s="195">
        <v>20</v>
      </c>
      <c r="B22" s="202" t="s">
        <v>54</v>
      </c>
      <c r="C22" s="195" t="s">
        <v>222</v>
      </c>
      <c r="D22" s="195" t="s">
        <v>223</v>
      </c>
      <c r="E22" s="195" t="s">
        <v>234</v>
      </c>
      <c r="F22" s="195" t="s">
        <v>238</v>
      </c>
      <c r="G22" s="205">
        <v>10400</v>
      </c>
      <c r="H22" s="198">
        <v>44409</v>
      </c>
      <c r="I22" s="199" t="s">
        <v>81</v>
      </c>
      <c r="J22" s="197"/>
      <c r="K22" s="199">
        <v>2</v>
      </c>
      <c r="L22" s="197">
        <f>'Wage Breakup'!$Y$31*K22</f>
        <v>24444</v>
      </c>
      <c r="M22" s="199" t="s">
        <v>81</v>
      </c>
      <c r="N22" s="197"/>
      <c r="O22" s="197">
        <f>N22+L22+J22</f>
        <v>24444</v>
      </c>
      <c r="P22" s="199"/>
      <c r="Q22" s="199"/>
      <c r="R22" s="199"/>
      <c r="S22" s="199"/>
      <c r="T22" s="199">
        <v>1</v>
      </c>
      <c r="U22" s="197">
        <f>P22*2500+Q22*9000+R22*9000+S22*6000+T22*3500</f>
        <v>3500</v>
      </c>
      <c r="V22" s="197">
        <f>$V$1*G22</f>
        <v>3120</v>
      </c>
      <c r="W22" s="197">
        <f>V22+U22+O22</f>
        <v>31064</v>
      </c>
      <c r="X22" s="200">
        <f>SUM(W22:W22)</f>
        <v>31064</v>
      </c>
      <c r="Y22" s="201">
        <f>X22/G22</f>
        <v>2.9869230769230768</v>
      </c>
      <c r="Z22" s="200">
        <f>3.25*G22</f>
        <v>33800</v>
      </c>
    </row>
    <row r="23" spans="1:26">
      <c r="A23" s="187"/>
      <c r="B23" s="188"/>
      <c r="C23" s="187"/>
      <c r="D23" s="187"/>
      <c r="E23" s="187"/>
      <c r="F23" s="187"/>
      <c r="G23" s="189"/>
      <c r="H23" s="190"/>
      <c r="I23" s="191"/>
      <c r="J23" s="192"/>
      <c r="K23" s="191"/>
      <c r="L23" s="192"/>
      <c r="M23" s="191"/>
      <c r="N23" s="192"/>
      <c r="O23" s="192"/>
      <c r="P23" s="191"/>
      <c r="Q23" s="191"/>
      <c r="R23" s="191"/>
      <c r="S23" s="191"/>
      <c r="T23" s="191"/>
      <c r="U23" s="192"/>
      <c r="V23" s="192"/>
      <c r="W23" s="192"/>
      <c r="X23" s="193"/>
      <c r="Y23" s="194"/>
      <c r="Z23" s="193"/>
    </row>
    <row r="24" spans="1:26">
      <c r="C24" s="216"/>
      <c r="D24" s="217" t="s">
        <v>225</v>
      </c>
      <c r="G24" s="74"/>
    </row>
    <row r="25" spans="1:26">
      <c r="C25" s="218"/>
      <c r="D25" s="217" t="s">
        <v>226</v>
      </c>
      <c r="G25" s="69">
        <f>SUM(G3:G22)</f>
        <v>362045</v>
      </c>
      <c r="H25" s="66"/>
      <c r="X25" s="69">
        <f>SUM(X3:X22)</f>
        <v>977089.9671837911</v>
      </c>
      <c r="Y25" s="72">
        <f>X25/G25</f>
        <v>2.6988080685654854</v>
      </c>
      <c r="Z25" s="69">
        <f>SUM(Z3:Z22)</f>
        <v>1176646.25</v>
      </c>
    </row>
    <row r="26" spans="1:26">
      <c r="G26" s="69"/>
      <c r="H26" s="66"/>
    </row>
    <row r="27" spans="1:26">
      <c r="B27" s="2" t="s">
        <v>31</v>
      </c>
    </row>
    <row r="28" spans="1:26">
      <c r="B28" s="7" t="s">
        <v>19</v>
      </c>
      <c r="X28" s="69" t="s">
        <v>168</v>
      </c>
      <c r="Z28" s="69">
        <f>Z25-X25</f>
        <v>199556.2828162089</v>
      </c>
    </row>
    <row r="29" spans="1:26">
      <c r="B29" s="7" t="s">
        <v>20</v>
      </c>
      <c r="X29" s="69" t="s">
        <v>169</v>
      </c>
      <c r="Z29" s="85">
        <f>Z28/Z25</f>
        <v>0.16959751736446607</v>
      </c>
    </row>
    <row r="30" spans="1:26">
      <c r="B30" s="7" t="s">
        <v>29</v>
      </c>
    </row>
    <row r="31" spans="1:26">
      <c r="B31" s="7" t="s">
        <v>21</v>
      </c>
    </row>
    <row r="32" spans="1:26">
      <c r="B32" s="7" t="s">
        <v>32</v>
      </c>
    </row>
    <row r="33" spans="2:2">
      <c r="B33" s="7" t="s">
        <v>40</v>
      </c>
    </row>
    <row r="34" spans="2:2">
      <c r="B34" s="7" t="s">
        <v>28</v>
      </c>
    </row>
    <row r="35" spans="2:2">
      <c r="B35" s="7" t="s">
        <v>22</v>
      </c>
    </row>
    <row r="36" spans="2:2">
      <c r="B36" s="7" t="s">
        <v>87</v>
      </c>
    </row>
    <row r="37" spans="2:2">
      <c r="B37" s="7" t="s">
        <v>86</v>
      </c>
    </row>
  </sheetData>
  <autoFilter ref="A2:Y14" xr:uid="{00000000-0009-0000-0000-000001000000}">
    <sortState xmlns:xlrd2="http://schemas.microsoft.com/office/spreadsheetml/2017/richdata2" ref="A3:AC12">
      <sortCondition ref="B2:B10"/>
    </sortState>
  </autoFilter>
  <mergeCells count="3">
    <mergeCell ref="A1:G1"/>
    <mergeCell ref="I1:O1"/>
    <mergeCell ref="P1:U1"/>
  </mergeCells>
  <conditionalFormatting sqref="E2:E14">
    <cfRule type="duplicateValues" dxfId="5" priority="13"/>
  </conditionalFormatting>
  <conditionalFormatting sqref="E15">
    <cfRule type="duplicateValues" dxfId="4" priority="14"/>
  </conditionalFormatting>
  <conditionalFormatting sqref="E17:E20">
    <cfRule type="duplicateValues" dxfId="3" priority="1"/>
  </conditionalFormatting>
  <conditionalFormatting sqref="E21">
    <cfRule type="duplicateValues" dxfId="2" priority="2"/>
  </conditionalFormatting>
  <dataValidations count="3">
    <dataValidation type="list" allowBlank="1" showInputMessage="1" showErrorMessage="1" error="Reffer List Option" sqref="B3:B15 B17:B21" xr:uid="{00000000-0002-0000-0100-000000000000}">
      <formula1>"West,East,Central,North,South I,South II,North East"</formula1>
    </dataValidation>
    <dataValidation allowBlank="1" showInputMessage="1" showErrorMessage="1" sqref="C3:D15 C17:D22" xr:uid="{00000000-0002-0000-0100-000001000000}"/>
    <dataValidation allowBlank="1" showInputMessage="1" showErrorMessage="1" error="Reffer List Option_x000a_" sqref="E3:Y15 E17:G21 H17:H22 I16:Y23" xr:uid="{00000000-0002-0000-0100-000002000000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C31"/>
  <sheetViews>
    <sheetView showGridLines="0" zoomScale="75" zoomScaleNormal="85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Q36" sqref="Q36"/>
    </sheetView>
  </sheetViews>
  <sheetFormatPr defaultColWidth="9" defaultRowHeight="14.4"/>
  <cols>
    <col min="1" max="1" width="3.33203125" customWidth="1"/>
    <col min="2" max="2" width="46.44140625" style="1" bestFit="1" customWidth="1"/>
    <col min="3" max="3" width="1.88671875" customWidth="1"/>
    <col min="4" max="4" width="22.6640625" customWidth="1"/>
    <col min="5" max="5" width="1.88671875" customWidth="1"/>
    <col min="6" max="6" width="13.33203125" customWidth="1"/>
    <col min="7" max="7" width="1.88671875" customWidth="1"/>
    <col min="8" max="8" width="13.33203125" style="1" customWidth="1"/>
    <col min="9" max="9" width="14.33203125" customWidth="1"/>
    <col min="10" max="10" width="13.33203125" customWidth="1"/>
    <col min="11" max="11" width="1.88671875" customWidth="1"/>
    <col min="12" max="12" width="13.33203125" style="1" customWidth="1"/>
    <col min="13" max="14" width="13.33203125" customWidth="1"/>
    <col min="15" max="15" width="1.88671875" customWidth="1"/>
    <col min="16" max="16" width="13.33203125" style="1" customWidth="1"/>
    <col min="17" max="17" width="13.33203125" customWidth="1"/>
    <col min="18" max="18" width="1.88671875" customWidth="1"/>
    <col min="19" max="19" width="13.33203125" style="1" customWidth="1"/>
    <col min="20" max="21" width="13.33203125" customWidth="1"/>
    <col min="22" max="22" width="1.88671875" customWidth="1"/>
    <col min="23" max="23" width="13.33203125" customWidth="1"/>
    <col min="24" max="24" width="1.88671875" customWidth="1"/>
    <col min="25" max="25" width="13.33203125" customWidth="1"/>
    <col min="26" max="26" width="1.88671875" customWidth="1"/>
    <col min="27" max="27" width="13.33203125" customWidth="1"/>
    <col min="28" max="28" width="1.88671875" customWidth="1"/>
    <col min="29" max="29" width="13.33203125" customWidth="1"/>
    <col min="30" max="30" width="1.88671875" customWidth="1"/>
  </cols>
  <sheetData>
    <row r="1" spans="2:29" ht="15.75" customHeight="1" thickBot="1"/>
    <row r="2" spans="2:29" ht="57" customHeight="1" thickBot="1">
      <c r="B2" s="32"/>
      <c r="D2" s="65" t="s">
        <v>216</v>
      </c>
      <c r="F2" s="65" t="s">
        <v>217</v>
      </c>
      <c r="H2" s="298" t="s">
        <v>218</v>
      </c>
      <c r="I2" s="300"/>
      <c r="J2" s="299"/>
      <c r="L2" s="298" t="s">
        <v>221</v>
      </c>
      <c r="M2" s="300"/>
      <c r="N2" s="299"/>
      <c r="P2" s="298" t="s">
        <v>84</v>
      </c>
      <c r="Q2" s="299"/>
      <c r="S2" s="298" t="s">
        <v>219</v>
      </c>
      <c r="T2" s="300"/>
      <c r="U2" s="299"/>
      <c r="W2" s="65" t="s">
        <v>220</v>
      </c>
      <c r="Y2" s="65" t="s">
        <v>241</v>
      </c>
      <c r="AA2" s="65" t="s">
        <v>240</v>
      </c>
      <c r="AC2" s="65" t="s">
        <v>239</v>
      </c>
    </row>
    <row r="3" spans="2:29" ht="43.95" customHeight="1" thickBot="1">
      <c r="B3" s="33" t="s">
        <v>0</v>
      </c>
      <c r="D3" s="180" t="s">
        <v>35</v>
      </c>
      <c r="E3" s="115"/>
      <c r="F3" s="180" t="s">
        <v>35</v>
      </c>
      <c r="G3" s="115"/>
      <c r="H3" s="181" t="s">
        <v>33</v>
      </c>
      <c r="I3" s="182" t="s">
        <v>34</v>
      </c>
      <c r="J3" s="183" t="s">
        <v>35</v>
      </c>
      <c r="L3" s="219" t="s">
        <v>33</v>
      </c>
      <c r="M3" s="220" t="s">
        <v>34</v>
      </c>
      <c r="N3" s="221" t="s">
        <v>35</v>
      </c>
      <c r="P3" s="3" t="s">
        <v>33</v>
      </c>
      <c r="Q3" s="5" t="s">
        <v>35</v>
      </c>
      <c r="S3" s="219" t="s">
        <v>33</v>
      </c>
      <c r="T3" s="221" t="s">
        <v>34</v>
      </c>
      <c r="U3" s="221" t="s">
        <v>35</v>
      </c>
      <c r="W3" s="273" t="s">
        <v>35</v>
      </c>
      <c r="Y3" s="97" t="s">
        <v>35</v>
      </c>
      <c r="AA3" s="97" t="s">
        <v>35</v>
      </c>
      <c r="AC3" s="97" t="s">
        <v>35</v>
      </c>
    </row>
    <row r="4" spans="2:29">
      <c r="B4" s="34" t="s">
        <v>1</v>
      </c>
      <c r="D4" s="114" t="s">
        <v>26</v>
      </c>
      <c r="E4" s="115"/>
      <c r="F4" s="114" t="s">
        <v>26</v>
      </c>
      <c r="G4" s="115"/>
      <c r="H4" s="116" t="s">
        <v>27</v>
      </c>
      <c r="I4" s="117" t="s">
        <v>25</v>
      </c>
      <c r="J4" s="118" t="s">
        <v>26</v>
      </c>
      <c r="L4" s="222" t="s">
        <v>27</v>
      </c>
      <c r="M4" s="223" t="s">
        <v>25</v>
      </c>
      <c r="N4" s="224" t="s">
        <v>26</v>
      </c>
      <c r="P4" s="4" t="s">
        <v>27</v>
      </c>
      <c r="Q4" s="6" t="s">
        <v>26</v>
      </c>
      <c r="S4" s="222" t="s">
        <v>26</v>
      </c>
      <c r="T4" s="224" t="s">
        <v>25</v>
      </c>
      <c r="U4" s="224" t="s">
        <v>26</v>
      </c>
      <c r="W4" s="274" t="s">
        <v>26</v>
      </c>
      <c r="Y4" s="98" t="s">
        <v>26</v>
      </c>
      <c r="AA4" s="98" t="s">
        <v>26</v>
      </c>
      <c r="AC4" s="98" t="s">
        <v>26</v>
      </c>
    </row>
    <row r="5" spans="2:29">
      <c r="B5" s="35" t="s">
        <v>17</v>
      </c>
      <c r="D5" s="119">
        <v>5750</v>
      </c>
      <c r="E5" s="115"/>
      <c r="F5" s="119">
        <v>5750</v>
      </c>
      <c r="G5" s="115"/>
      <c r="H5" s="120">
        <v>7980</v>
      </c>
      <c r="I5" s="121">
        <v>8797.9500000000007</v>
      </c>
      <c r="J5" s="122">
        <v>7600</v>
      </c>
      <c r="L5" s="225">
        <v>12746.61</v>
      </c>
      <c r="M5" s="226">
        <v>14021.27</v>
      </c>
      <c r="N5" s="227">
        <v>11587.83</v>
      </c>
      <c r="P5" s="48">
        <v>6162</v>
      </c>
      <c r="Q5" s="8">
        <v>5250</v>
      </c>
      <c r="S5" s="271">
        <v>5396</v>
      </c>
      <c r="T5" s="227">
        <v>5548</v>
      </c>
      <c r="U5" s="227">
        <v>5396</v>
      </c>
      <c r="W5" s="271">
        <v>8904</v>
      </c>
      <c r="Y5" s="99">
        <f>311*26</f>
        <v>8086</v>
      </c>
      <c r="AA5" s="99">
        <v>6162</v>
      </c>
      <c r="AC5" s="99">
        <v>7145.06</v>
      </c>
    </row>
    <row r="6" spans="2:29" ht="15" thickBot="1">
      <c r="B6" s="36" t="s">
        <v>16</v>
      </c>
      <c r="D6" s="123">
        <v>3328</v>
      </c>
      <c r="E6" s="115"/>
      <c r="F6" s="123">
        <v>3328</v>
      </c>
      <c r="G6" s="115"/>
      <c r="H6" s="124">
        <f>10188.83-H5</f>
        <v>2208.83</v>
      </c>
      <c r="I6" s="125">
        <f>11233.18-I5</f>
        <v>2435.2299999999996</v>
      </c>
      <c r="J6" s="126">
        <f>9703.68-J5</f>
        <v>2103.6800000000003</v>
      </c>
      <c r="L6" s="228">
        <v>1723.2</v>
      </c>
      <c r="M6" s="229">
        <v>1723.2</v>
      </c>
      <c r="N6" s="230">
        <v>1723.2</v>
      </c>
      <c r="P6" s="49"/>
      <c r="Q6" s="9"/>
      <c r="S6" s="272">
        <v>4374</v>
      </c>
      <c r="T6" s="230">
        <v>4374</v>
      </c>
      <c r="U6" s="230">
        <v>4374</v>
      </c>
      <c r="W6" s="272"/>
      <c r="Y6" s="100"/>
      <c r="AA6" s="100">
        <f>67*26</f>
        <v>1742</v>
      </c>
      <c r="AC6" s="100">
        <v>949.57</v>
      </c>
    </row>
    <row r="7" spans="2:29" ht="15" thickBot="1">
      <c r="B7" s="37" t="s">
        <v>2</v>
      </c>
      <c r="D7" s="127">
        <f>SUM(D5:D6)</f>
        <v>9078</v>
      </c>
      <c r="E7" s="115"/>
      <c r="F7" s="127">
        <f>SUM(F5:F6)</f>
        <v>9078</v>
      </c>
      <c r="G7" s="115"/>
      <c r="H7" s="128">
        <f>SUM(H5:H6)</f>
        <v>10188.83</v>
      </c>
      <c r="I7" s="129">
        <f>SUM(I5:I6)</f>
        <v>11233.18</v>
      </c>
      <c r="J7" s="130">
        <f>SUM(J5:J6)</f>
        <v>9703.68</v>
      </c>
      <c r="L7" s="231">
        <f>SUM(L5:L6)</f>
        <v>14469.810000000001</v>
      </c>
      <c r="M7" s="232">
        <f>SUM(M5:M6)</f>
        <v>15744.470000000001</v>
      </c>
      <c r="N7" s="233">
        <f>SUM(N5:N6)</f>
        <v>13311.03</v>
      </c>
      <c r="P7" s="50">
        <f>SUM(P5:P6)</f>
        <v>6162</v>
      </c>
      <c r="Q7" s="10">
        <f>SUM(Q5:Q6)</f>
        <v>5250</v>
      </c>
      <c r="S7" s="231">
        <f>SUM(S5:S6)</f>
        <v>9770</v>
      </c>
      <c r="T7" s="233">
        <f>SUM(T5:T6)</f>
        <v>9922</v>
      </c>
      <c r="U7" s="233">
        <f>SUM(U5:U6)</f>
        <v>9770</v>
      </c>
      <c r="W7" s="275">
        <f>SUM(W5:W6)</f>
        <v>8904</v>
      </c>
      <c r="Y7" s="101">
        <f t="shared" ref="Y7" si="0">SUM(Y5:Y6)</f>
        <v>8086</v>
      </c>
      <c r="AA7" s="101">
        <f t="shared" ref="AA7" si="1">SUM(AA5:AA6)</f>
        <v>7904</v>
      </c>
      <c r="AC7" s="101">
        <f t="shared" ref="AC7" si="2">SUM(AC5:AC6)</f>
        <v>8094.63</v>
      </c>
    </row>
    <row r="8" spans="2:29" s="64" customFormat="1">
      <c r="B8" s="38" t="s">
        <v>3</v>
      </c>
      <c r="D8" s="131">
        <f>5.34%*D7</f>
        <v>484.76519999999994</v>
      </c>
      <c r="E8" s="132"/>
      <c r="F8" s="131">
        <f>11.13%*F7</f>
        <v>1010.3814000000001</v>
      </c>
      <c r="G8" s="132"/>
      <c r="H8" s="133">
        <f>7.29%*H7</f>
        <v>742.76570700000002</v>
      </c>
      <c r="I8" s="134">
        <f>21.91%*I7</f>
        <v>2461.189738</v>
      </c>
      <c r="J8" s="135">
        <f>2.42%*J7</f>
        <v>234.82905600000001</v>
      </c>
      <c r="L8" s="234"/>
      <c r="M8" s="235"/>
      <c r="N8" s="236"/>
      <c r="P8" s="63">
        <f>50%*P7</f>
        <v>3081</v>
      </c>
      <c r="Q8" s="62">
        <f>50%*Q7</f>
        <v>2625</v>
      </c>
      <c r="S8" s="234">
        <f>20%*S7</f>
        <v>1954</v>
      </c>
      <c r="T8" s="236">
        <f>50%*T7</f>
        <v>4961</v>
      </c>
      <c r="U8" s="236">
        <f>12%*U7</f>
        <v>1172.3999999999999</v>
      </c>
      <c r="W8" s="276">
        <f>7%*W7</f>
        <v>623.28000000000009</v>
      </c>
      <c r="Y8" s="102">
        <f>5%*Y7</f>
        <v>404.3</v>
      </c>
      <c r="AA8" s="102">
        <f>17.5%*AA7</f>
        <v>1383.1999999999998</v>
      </c>
      <c r="AC8" s="102">
        <f>14%*AC7</f>
        <v>1133.2482000000002</v>
      </c>
    </row>
    <row r="9" spans="2:29">
      <c r="B9" s="39" t="s">
        <v>23</v>
      </c>
      <c r="D9" s="136"/>
      <c r="E9" s="115"/>
      <c r="F9" s="136"/>
      <c r="G9" s="115"/>
      <c r="H9" s="137"/>
      <c r="I9" s="138"/>
      <c r="J9" s="139"/>
      <c r="L9" s="237"/>
      <c r="M9" s="238"/>
      <c r="N9" s="239"/>
      <c r="P9" s="51">
        <v>2000</v>
      </c>
      <c r="Q9" s="11">
        <v>1800</v>
      </c>
      <c r="S9" s="237"/>
      <c r="T9" s="239">
        <v>100</v>
      </c>
      <c r="U9" s="239"/>
      <c r="W9" s="252"/>
      <c r="Y9" s="103"/>
      <c r="AA9" s="103"/>
      <c r="AC9" s="103"/>
    </row>
    <row r="10" spans="2:29">
      <c r="B10" s="46" t="s">
        <v>82</v>
      </c>
      <c r="D10" s="140">
        <f>25/313*(D7)</f>
        <v>725.07987220447285</v>
      </c>
      <c r="E10" s="115"/>
      <c r="F10" s="140">
        <f>25/313*(F7)</f>
        <v>725.07987220447285</v>
      </c>
      <c r="G10" s="115"/>
      <c r="H10" s="141">
        <f>32/313*(H7)</f>
        <v>1041.6695207667731</v>
      </c>
      <c r="I10" s="142">
        <f>32/313*(I7)</f>
        <v>1148.4401277955271</v>
      </c>
      <c r="J10" s="143">
        <f>32/313*(J7)</f>
        <v>992.06952076677317</v>
      </c>
      <c r="L10" s="240">
        <f>30/313*(L7)</f>
        <v>1386.8827476038339</v>
      </c>
      <c r="M10" s="241">
        <f>30/313*(M7)</f>
        <v>1509.0546325878595</v>
      </c>
      <c r="N10" s="242">
        <f>30/313*(N7)</f>
        <v>1275.8175718849841</v>
      </c>
      <c r="P10" s="87">
        <f t="shared" ref="P10:U10" si="3">30/313*(P7)</f>
        <v>590.60702875399363</v>
      </c>
      <c r="Q10" s="88">
        <f t="shared" si="3"/>
        <v>503.19488817891374</v>
      </c>
      <c r="S10" s="240">
        <f t="shared" si="3"/>
        <v>936.42172523961653</v>
      </c>
      <c r="T10" s="241">
        <f t="shared" si="3"/>
        <v>950.99041533546324</v>
      </c>
      <c r="U10" s="242">
        <f t="shared" si="3"/>
        <v>936.42172523961653</v>
      </c>
      <c r="W10" s="277">
        <f>30/313*(W7)</f>
        <v>853.41853035143765</v>
      </c>
      <c r="Y10" s="104">
        <f>33/313*(Y7)</f>
        <v>852.51757188498402</v>
      </c>
      <c r="AA10" s="104">
        <f t="shared" ref="AA10" si="4">30/313*(AA7)</f>
        <v>757.57188498402547</v>
      </c>
      <c r="AC10" s="104">
        <f t="shared" ref="AC10" si="5">30/313*(AC7)</f>
        <v>775.84313099041526</v>
      </c>
    </row>
    <row r="11" spans="2:29" ht="15" thickBot="1">
      <c r="B11" s="40" t="s">
        <v>24</v>
      </c>
      <c r="D11" s="144"/>
      <c r="E11" s="115"/>
      <c r="F11" s="144"/>
      <c r="G11" s="115"/>
      <c r="H11" s="145"/>
      <c r="I11" s="146"/>
      <c r="J11" s="147"/>
      <c r="L11" s="243"/>
      <c r="M11" s="244"/>
      <c r="N11" s="245"/>
      <c r="P11" s="52"/>
      <c r="Q11" s="12"/>
      <c r="S11" s="243"/>
      <c r="T11" s="245"/>
      <c r="U11" s="245"/>
      <c r="W11" s="278"/>
      <c r="Y11" s="105"/>
      <c r="AA11" s="105"/>
      <c r="AC11" s="105"/>
    </row>
    <row r="12" spans="2:29" ht="15" thickBot="1">
      <c r="B12" s="41" t="s">
        <v>5</v>
      </c>
      <c r="D12" s="148">
        <f>SUM(D7:D11)</f>
        <v>10287.845072204473</v>
      </c>
      <c r="E12" s="115"/>
      <c r="F12" s="148">
        <f>SUM(F7:F11)</f>
        <v>10813.461272204473</v>
      </c>
      <c r="G12" s="115"/>
      <c r="H12" s="149">
        <f>SUM(H7:H11)</f>
        <v>11973.265227766773</v>
      </c>
      <c r="I12" s="150">
        <f>SUM(I7:I11)</f>
        <v>14842.809865795529</v>
      </c>
      <c r="J12" s="151">
        <f>SUM(J7:J11)</f>
        <v>10930.578576766773</v>
      </c>
      <c r="L12" s="246">
        <f>SUM(L7:L11)</f>
        <v>15856.692747603835</v>
      </c>
      <c r="M12" s="247">
        <f>SUM(M7:M11)</f>
        <v>17253.524632587862</v>
      </c>
      <c r="N12" s="248">
        <f>SUM(N7:N11)</f>
        <v>14586.847571884984</v>
      </c>
      <c r="P12" s="53">
        <f>SUM(P7:P11)</f>
        <v>11833.607028753993</v>
      </c>
      <c r="Q12" s="13">
        <f>SUM(Q7:Q11)</f>
        <v>10178.194888178914</v>
      </c>
      <c r="S12" s="246">
        <f>SUM(S7:S11)</f>
        <v>12660.421725239616</v>
      </c>
      <c r="T12" s="248">
        <f>SUM(T7:T11)</f>
        <v>15933.990415335464</v>
      </c>
      <c r="U12" s="248">
        <f>SUM(U7:U11)</f>
        <v>11878.821725239617</v>
      </c>
      <c r="W12" s="279">
        <f>SUM(W7:W11)</f>
        <v>10380.698530351438</v>
      </c>
      <c r="Y12" s="106">
        <f t="shared" ref="Y12" si="6">SUM(Y7:Y11)</f>
        <v>9342.8175718849834</v>
      </c>
      <c r="AA12" s="106">
        <f t="shared" ref="AA12" si="7">SUM(AA7:AA11)</f>
        <v>10044.771884984026</v>
      </c>
      <c r="AC12" s="106">
        <f t="shared" ref="AC12" si="8">SUM(AC7:AC11)</f>
        <v>10003.721330990416</v>
      </c>
    </row>
    <row r="13" spans="2:29">
      <c r="B13" s="42" t="s">
        <v>6</v>
      </c>
      <c r="D13" s="152"/>
      <c r="E13" s="115"/>
      <c r="F13" s="152"/>
      <c r="G13" s="115"/>
      <c r="H13" s="153"/>
      <c r="I13" s="154"/>
      <c r="J13" s="155"/>
      <c r="L13" s="249"/>
      <c r="M13" s="250"/>
      <c r="N13" s="251"/>
      <c r="P13" s="54"/>
      <c r="Q13" s="14"/>
      <c r="S13" s="249"/>
      <c r="T13" s="251"/>
      <c r="U13" s="251"/>
      <c r="W13" s="280"/>
      <c r="Y13" s="107"/>
      <c r="AA13" s="107"/>
      <c r="AC13" s="107"/>
    </row>
    <row r="14" spans="2:29">
      <c r="B14" s="39" t="s">
        <v>7</v>
      </c>
      <c r="D14" s="136">
        <f>IF(SUM(D12-D8)&gt;15000,(15000*12%),IF(SUM(D12-D8)=15000,15000*12%,IF(SUM(D12-D8)&lt;15000,SUM(D12-D8)*12%,0)))</f>
        <v>1176.3695846645367</v>
      </c>
      <c r="E14" s="115"/>
      <c r="F14" s="136">
        <f>IF(SUM(F12-F8)&gt;15000,(15000*12%),IF(SUM(F12-F8)=15000,15000*12%,IF(SUM(F12-F8)&lt;15000,SUM(F12-F8)*12%,0)))</f>
        <v>1176.3695846645367</v>
      </c>
      <c r="G14" s="115"/>
      <c r="H14" s="136">
        <f>IF(SUM(H12-H8)&gt;15000,(15000*12%),IF(SUM(H12-H8)=15000,15000*12%,IF(SUM(H12-H8)&lt;15000,SUM(H12-H8)*12%,0)))</f>
        <v>1347.6599424920128</v>
      </c>
      <c r="I14" s="139">
        <f>IF(SUM(I12-I8)&gt;15000,(15000*12%),IF(SUM(I12-I8)=15000,15000*12%,IF(SUM(I12-I8)&lt;15000,SUM(I12-I8)*12%,0)))</f>
        <v>1485.7944153354636</v>
      </c>
      <c r="J14" s="139">
        <f>IF(SUM(J12-J8)&gt;15000,(15000*12%),IF(SUM(J12-J8)=15000,15000*12%,IF(SUM(J12-J8)&lt;15000,SUM(J12-J8)*12%,0)))</f>
        <v>1283.4899424920127</v>
      </c>
      <c r="L14" s="252">
        <f>IF(SUM(L12-L8)&gt;15000,(15000*12%),IF(SUM(L12-L8)=15000,15000*12%,IF(SUM(L12-L8)&lt;15000,SUM(L12-L8)*12%,0)))</f>
        <v>1800</v>
      </c>
      <c r="M14" s="239">
        <f>IF(SUM(M12-M8)&gt;15000,(15000*12%),IF(SUM(M12-M8)=15000,15000*12%,IF(SUM(M12-M8)&lt;15000,SUM(M12-M8)*12%,0)))</f>
        <v>1800</v>
      </c>
      <c r="N14" s="239">
        <f>IF(SUM(N12-N8)&gt;15000,(15000*12%),IF(SUM(N12-N8)=15000,15000*12%,IF(SUM(N12-N8)&lt;15000,SUM(N12-N8)*12%,0)))</f>
        <v>1750.4217086261981</v>
      </c>
      <c r="P14" s="55">
        <f>IF(SUM(P12-P8)&gt;15000,(15000*12%),IF(SUM(P12-P8)=15000,15000*12%,IF(SUM(P12-P8)&lt;15000,SUM(P12-P8)*12%,0)))</f>
        <v>1050.3128434504792</v>
      </c>
      <c r="Q14" s="11">
        <f>IF(SUM(Q12-Q8)&gt;15000,(15000*12%),IF(SUM(Q12-Q8)=15000,15000*12%,IF(SUM(Q12-Q8)&lt;15000,SUM(Q12-Q8)*12%,0)))</f>
        <v>906.38338658146961</v>
      </c>
      <c r="S14" s="252">
        <f>IF(SUM(S12-S8)&gt;15000,(15000*12%),IF(SUM(S12-S8)=15000,15000*12%,IF(SUM(S12-S8)&lt;15000,SUM(S12-S8)*12%,0)))</f>
        <v>1284.7706070287538</v>
      </c>
      <c r="T14" s="239">
        <f>IF(SUM(T12-T8)&gt;15000,(15000*12%),IF(SUM(T12-T8)=15000,15000*12%,IF(SUM(T12-T8)&lt;15000,SUM(T12-T8)*12%,0)))</f>
        <v>1316.7588498402556</v>
      </c>
      <c r="U14" s="239">
        <f>IF(SUM(U12-U8)&gt;15000,(15000*12%),IF(SUM(U12-U8)=15000,15000*12%,IF(SUM(U12-U8)&lt;15000,SUM(U12-U8)*12%,0)))</f>
        <v>1284.7706070287541</v>
      </c>
      <c r="W14" s="252">
        <f>IF(SUM(W12-W8)&gt;15000,(15000*12%),IF(SUM(W12-W8)=15000,15000*12%,IF(SUM(W12-W8)&lt;15000,SUM(W12-W8)*12%,0)))</f>
        <v>1170.8902236421725</v>
      </c>
      <c r="Y14" s="103">
        <f t="shared" ref="Y14" si="9">IF(SUM(Y12-Y8)&gt;15000,(15000*12%),IF(SUM(Y12-Y8)=15000,15000*12%,IF(SUM(Y12-Y8)&lt;15000,SUM(Y12-Y8)*12%,0)))</f>
        <v>1072.622108626198</v>
      </c>
      <c r="AA14" s="103">
        <f t="shared" ref="AA14" si="10">IF(SUM(AA12-AA8)&gt;15000,(15000*12%),IF(SUM(AA12-AA8)=15000,15000*12%,IF(SUM(AA12-AA8)&lt;15000,SUM(AA12-AA8)*12%,0)))</f>
        <v>1039.3886261980831</v>
      </c>
      <c r="AC14" s="103">
        <f t="shared" ref="AC14" si="11">IF(SUM(AC12-AC8)&gt;15000,(15000*12%),IF(SUM(AC12-AC8)=15000,15000*12%,IF(SUM(AC12-AC8)&lt;15000,SUM(AC12-AC8)*12%,0)))</f>
        <v>1064.4567757188499</v>
      </c>
    </row>
    <row r="15" spans="2:29">
      <c r="B15" s="39" t="s">
        <v>15</v>
      </c>
      <c r="D15" s="136">
        <f>IF((D12)&gt;21000,0,IF((D12)&lt;21000,(D12)*0.75%))</f>
        <v>77.158838041533542</v>
      </c>
      <c r="E15" s="115"/>
      <c r="F15" s="136">
        <f>IF((F12)&gt;21000,0,IF((F12)&lt;21000,(F12)*0.75%))</f>
        <v>81.100959541533541</v>
      </c>
      <c r="G15" s="115"/>
      <c r="H15" s="137">
        <f>IF((H12)&gt;21000,0,IF((H12)&lt;21000,(H12)*0.75%))</f>
        <v>89.79948920825079</v>
      </c>
      <c r="I15" s="138">
        <f>IF((I12)&gt;21000,0,IF((I12)&lt;21000,(I12)*0.75%))</f>
        <v>111.32107399346646</v>
      </c>
      <c r="J15" s="139">
        <f>IF((J12)&gt;21000,0,IF((J12)&lt;21000,(J12)*0.75%))</f>
        <v>81.9793393257508</v>
      </c>
      <c r="L15" s="237">
        <f>IF((L12)&gt;21000,0,IF((L12)&lt;21000,(L12)*0.75%))</f>
        <v>118.92519560702875</v>
      </c>
      <c r="M15" s="238">
        <f>IF((M12)&gt;21000,0,IF((M12)&lt;21000,(M12)*0.75%))</f>
        <v>129.40143474440896</v>
      </c>
      <c r="N15" s="239">
        <f>IF((N12)&gt;21000,0,IF((N12)&lt;21000,(N12)*0.75%))</f>
        <v>109.40135678913738</v>
      </c>
      <c r="P15" s="51">
        <f>IF((P12)&gt;21000,0,IF((P12)&lt;21000,(P12)*0.75%))</f>
        <v>88.752052715654941</v>
      </c>
      <c r="Q15" s="11">
        <f>IF((Q12)&gt;21000,0,IF((Q12)&lt;21000,(Q12)*0.75%))</f>
        <v>76.336461661341858</v>
      </c>
      <c r="S15" s="237">
        <f>IF((S12)&gt;21000,0,IF((S12)&lt;21000,(S12)*0.75%))</f>
        <v>94.953162939297115</v>
      </c>
      <c r="T15" s="239">
        <f>IF((T12)&gt;21000,0,IF((T12)&lt;21000,(T12)*0.75%))</f>
        <v>119.50492811501597</v>
      </c>
      <c r="U15" s="239">
        <f>IF((U12)&gt;21000,0,IF((U12)&lt;21000,(U12)*0.75%))</f>
        <v>89.091162939297121</v>
      </c>
      <c r="W15" s="252">
        <f>IF((W12)&gt;21000,0,IF((W12)&lt;21000,(W12)*0.75%))</f>
        <v>77.855238977635778</v>
      </c>
      <c r="Y15" s="103">
        <f t="shared" ref="Y15" si="12">IF((Y12)&gt;21000,0,IF((Y12)&lt;21000,(Y12)*0.75%))</f>
        <v>70.071131789137368</v>
      </c>
      <c r="AA15" s="103">
        <f t="shared" ref="AA15" si="13">IF((AA12)&gt;21000,0,IF((AA12)&lt;21000,(AA12)*0.75%))</f>
        <v>75.335789137380189</v>
      </c>
      <c r="AC15" s="103">
        <f t="shared" ref="AC15" si="14">IF((AC12)&gt;21000,0,IF((AC12)&lt;21000,(AC12)*0.75%))</f>
        <v>75.027909982428113</v>
      </c>
    </row>
    <row r="16" spans="2:29">
      <c r="B16" s="39" t="s">
        <v>8</v>
      </c>
      <c r="D16" s="156">
        <v>0</v>
      </c>
      <c r="E16" s="115"/>
      <c r="F16" s="156">
        <v>0</v>
      </c>
      <c r="G16" s="115"/>
      <c r="H16" s="157">
        <v>25</v>
      </c>
      <c r="I16" s="158">
        <v>25</v>
      </c>
      <c r="J16" s="159">
        <v>25</v>
      </c>
      <c r="L16" s="253">
        <v>1</v>
      </c>
      <c r="M16" s="254">
        <f>L16</f>
        <v>1</v>
      </c>
      <c r="N16" s="255">
        <f>M16</f>
        <v>1</v>
      </c>
      <c r="P16" s="56"/>
      <c r="Q16" s="15"/>
      <c r="S16" s="253"/>
      <c r="T16" s="255"/>
      <c r="U16" s="255"/>
      <c r="W16" s="281">
        <v>0</v>
      </c>
      <c r="Y16" s="108">
        <f>10/12</f>
        <v>0.83333333333333337</v>
      </c>
      <c r="AA16" s="108" t="s">
        <v>9</v>
      </c>
      <c r="AC16" s="108" t="s">
        <v>9</v>
      </c>
    </row>
    <row r="17" spans="2:29" ht="15" thickBot="1">
      <c r="B17" s="43" t="s">
        <v>10</v>
      </c>
      <c r="D17" s="160">
        <v>0</v>
      </c>
      <c r="E17" s="115"/>
      <c r="F17" s="160">
        <v>0</v>
      </c>
      <c r="G17" s="115"/>
      <c r="H17" s="161" t="s">
        <v>9</v>
      </c>
      <c r="I17" s="162" t="s">
        <v>9</v>
      </c>
      <c r="J17" s="163" t="s">
        <v>9</v>
      </c>
      <c r="L17" s="256" t="s">
        <v>9</v>
      </c>
      <c r="M17" s="257">
        <v>200</v>
      </c>
      <c r="N17" s="258" t="s">
        <v>9</v>
      </c>
      <c r="P17" s="57"/>
      <c r="Q17" s="16"/>
      <c r="S17" s="256"/>
      <c r="T17" s="258"/>
      <c r="U17" s="258"/>
      <c r="W17" s="282">
        <v>0</v>
      </c>
      <c r="Y17" s="109">
        <v>0</v>
      </c>
      <c r="AA17" s="109">
        <v>0</v>
      </c>
      <c r="AC17" s="109">
        <v>0</v>
      </c>
    </row>
    <row r="18" spans="2:29" ht="15" thickBot="1">
      <c r="B18" s="44" t="s">
        <v>11</v>
      </c>
      <c r="D18" s="164">
        <f>SUM(D14:D17)</f>
        <v>1253.5284227060702</v>
      </c>
      <c r="E18" s="115"/>
      <c r="F18" s="164">
        <f>SUM(F14:F17)</f>
        <v>1257.4705442060701</v>
      </c>
      <c r="G18" s="115"/>
      <c r="H18" s="165">
        <f>SUM(H14:H17)</f>
        <v>1462.4594317002636</v>
      </c>
      <c r="I18" s="166">
        <f>SUM(I14:I17)</f>
        <v>1622.1154893289299</v>
      </c>
      <c r="J18" s="167">
        <f>SUM(J14:J17)</f>
        <v>1390.4692818177634</v>
      </c>
      <c r="L18" s="259">
        <f>SUM(L14:L17)</f>
        <v>1919.9251956070289</v>
      </c>
      <c r="M18" s="260">
        <f>SUM(M14:M17)</f>
        <v>2130.401434744409</v>
      </c>
      <c r="N18" s="261">
        <f>SUM(N14:N17)</f>
        <v>1860.8230654153356</v>
      </c>
      <c r="P18" s="58">
        <f>SUM(P14:P17)</f>
        <v>1139.0648961661341</v>
      </c>
      <c r="Q18" s="17">
        <f>SUM(Q14:Q17)</f>
        <v>982.71984824281151</v>
      </c>
      <c r="S18" s="259">
        <f>SUM(S14:S17)</f>
        <v>1379.7237699680509</v>
      </c>
      <c r="T18" s="261">
        <f>SUM(T14:T17)</f>
        <v>1436.2637779552715</v>
      </c>
      <c r="U18" s="261">
        <f>SUM(U14:U17)</f>
        <v>1373.8617699680512</v>
      </c>
      <c r="W18" s="283">
        <f>SUM(W14:W17)</f>
        <v>1248.7454626198082</v>
      </c>
      <c r="Y18" s="110">
        <f t="shared" ref="Y18" si="15">SUM(Y14:Y17)</f>
        <v>1143.5265737486686</v>
      </c>
      <c r="AA18" s="110">
        <f t="shared" ref="AA18" si="16">SUM(AA14:AA17)</f>
        <v>1114.7244153354634</v>
      </c>
      <c r="AC18" s="110">
        <f t="shared" ref="AC18" si="17">SUM(AC14:AC17)</f>
        <v>1139.4846857012781</v>
      </c>
    </row>
    <row r="19" spans="2:29" ht="7.95" customHeight="1" thickBot="1">
      <c r="B19" s="45"/>
      <c r="D19" s="168"/>
      <c r="E19" s="115"/>
      <c r="F19" s="168"/>
      <c r="G19" s="115"/>
      <c r="H19" s="169"/>
      <c r="I19" s="170"/>
      <c r="J19" s="171"/>
      <c r="L19" s="262"/>
      <c r="M19" s="263"/>
      <c r="N19" s="264"/>
      <c r="P19" s="59"/>
      <c r="Q19" s="18"/>
      <c r="S19" s="262"/>
      <c r="T19" s="264"/>
      <c r="U19" s="264"/>
      <c r="W19" s="284"/>
      <c r="Y19" s="111"/>
      <c r="AA19" s="111"/>
      <c r="AC19" s="111"/>
    </row>
    <row r="20" spans="2:29" ht="15" thickBot="1">
      <c r="B20" s="37" t="s">
        <v>38</v>
      </c>
      <c r="D20" s="127">
        <f>D12-D18</f>
        <v>9034.3166494984034</v>
      </c>
      <c r="E20" s="115"/>
      <c r="F20" s="127">
        <f>F12-F18</f>
        <v>9555.9907279984036</v>
      </c>
      <c r="G20" s="115"/>
      <c r="H20" s="128">
        <f>H12-H18</f>
        <v>10510.80579606651</v>
      </c>
      <c r="I20" s="129">
        <f>I12-I18</f>
        <v>13220.694376466599</v>
      </c>
      <c r="J20" s="130">
        <f>J12-J18</f>
        <v>9540.1092949490103</v>
      </c>
      <c r="L20" s="231">
        <f>L12-L18</f>
        <v>13936.767551996805</v>
      </c>
      <c r="M20" s="232">
        <f>M12-M18</f>
        <v>15123.123197843452</v>
      </c>
      <c r="N20" s="233">
        <f>N12-N18</f>
        <v>12726.024506469648</v>
      </c>
      <c r="P20" s="50">
        <f>P12-P18</f>
        <v>10694.54213258786</v>
      </c>
      <c r="Q20" s="10">
        <f>Q12-Q18</f>
        <v>9195.4750399361019</v>
      </c>
      <c r="S20" s="231">
        <f>S12-S18</f>
        <v>11280.697955271564</v>
      </c>
      <c r="T20" s="233">
        <f>T12-T18</f>
        <v>14497.726637380192</v>
      </c>
      <c r="U20" s="233">
        <f>U12-U18</f>
        <v>10504.959955271566</v>
      </c>
      <c r="W20" s="275">
        <f>W12-W18</f>
        <v>9131.9530677316288</v>
      </c>
      <c r="Y20" s="101">
        <f t="shared" ref="Y20" si="18">Y12-Y18</f>
        <v>8199.2909981363155</v>
      </c>
      <c r="AA20" s="101">
        <f t="shared" ref="AA20" si="19">AA12-AA18</f>
        <v>8930.0474696485617</v>
      </c>
      <c r="AC20" s="101">
        <f t="shared" ref="AC20" si="20">AC12-AC18</f>
        <v>8864.2366452891383</v>
      </c>
    </row>
    <row r="21" spans="2:29">
      <c r="B21" s="42" t="s">
        <v>12</v>
      </c>
      <c r="D21" s="152"/>
      <c r="E21" s="115"/>
      <c r="F21" s="152"/>
      <c r="G21" s="115"/>
      <c r="H21" s="153"/>
      <c r="I21" s="154"/>
      <c r="J21" s="155"/>
      <c r="L21" s="249"/>
      <c r="M21" s="250"/>
      <c r="N21" s="251"/>
      <c r="P21" s="54"/>
      <c r="Q21" s="14"/>
      <c r="S21" s="249"/>
      <c r="T21" s="251"/>
      <c r="U21" s="251"/>
      <c r="W21" s="280"/>
      <c r="Y21" s="107"/>
      <c r="AA21" s="107"/>
      <c r="AC21" s="107"/>
    </row>
    <row r="22" spans="2:29">
      <c r="B22" s="39" t="s">
        <v>13</v>
      </c>
      <c r="D22" s="136">
        <f>IF(SUM(D12-D8)&gt;15000,(15000*13%),IF(SUM(D12-D8)=15000,15000*13%,IF(SUM(D12-D8)&lt;15000,SUM(D12-D8)*13%,0)))</f>
        <v>1274.4003833865816</v>
      </c>
      <c r="E22" s="115"/>
      <c r="F22" s="136">
        <f>IF(SUM(F12-F8)&gt;15000,(15000*13%),IF(SUM(F12-F8)=15000,15000*13%,IF(SUM(F12-F8)&lt;15000,SUM(F12-F8)*13%,0)))</f>
        <v>1274.4003833865816</v>
      </c>
      <c r="G22" s="115"/>
      <c r="H22" s="136">
        <f>IF(SUM(H12-H8)&gt;15000,(15000*13%),IF(SUM(H12-H8)=15000,15000*13%,IF(SUM(H12-H8)&lt;15000,SUM(H12-H8)*13%,0)))</f>
        <v>1459.9649376996804</v>
      </c>
      <c r="I22" s="139">
        <f>IF(SUM(I12-I8)&gt;15000,(15000*13%),IF(SUM(I12-I8)=15000,15000*13%,IF(SUM(I12-I8)&lt;15000,SUM(I12-I8)*13%,0)))</f>
        <v>1609.6106166134189</v>
      </c>
      <c r="J22" s="139">
        <f>IF(SUM(J12-J8)&gt;15000,(15000*13%),IF(SUM(J12-J8)=15000,15000*13%,IF(SUM(J12-J8)&lt;15000,SUM(J12-J8)*13%,0)))</f>
        <v>1390.4474376996804</v>
      </c>
      <c r="L22" s="252">
        <f>IF(SUM(L12-L8)&gt;15000,(15000*13%),IF(SUM(L12-L8)=15000,15000*13%,IF(SUM(L12-L8)&lt;15000,SUM(L12-L8)*13%,0)))</f>
        <v>1950</v>
      </c>
      <c r="M22" s="239">
        <f>IF(SUM(M12-M8)&gt;15000,(15000*13%),IF(SUM(M12-M8)=15000,15000*13%,IF(SUM(M12-M8)&lt;15000,SUM(M12-M8)*13%,0)))</f>
        <v>1950</v>
      </c>
      <c r="N22" s="239">
        <f>IF(SUM(N12-N8)&gt;15000,(15000*13%),IF(SUM(N12-N8)=15000,15000*13%,IF(SUM(N12-N8)&lt;15000,SUM(N12-N8)*13%,0)))</f>
        <v>1896.2901843450479</v>
      </c>
      <c r="P22" s="55">
        <f>IF(SUM(P12-P8)&gt;15000,(15000*13%),IF(SUM(P12-P8)=15000,15000*13%,IF(SUM(P12-P8)&lt;15000,SUM(P12-P8)*13%,0)))</f>
        <v>1137.8389137380191</v>
      </c>
      <c r="Q22" s="11">
        <f>IF(SUM(Q12-Q8)&gt;15000,(15000*13%),IF(SUM(Q12-Q8)=15000,15000*13%,IF(SUM(Q12-Q8)&lt;15000,SUM(Q12-Q8)*13%,0)))</f>
        <v>981.91533546325888</v>
      </c>
      <c r="S22" s="252">
        <f>IF(SUM(S12-S8)&gt;15000,(15000*13%),IF(SUM(S12-S8)=15000,15000*13%,IF(SUM(S12-S8)&lt;15000,SUM(S12-S8)*13%,0)))</f>
        <v>1391.8348242811501</v>
      </c>
      <c r="T22" s="239">
        <f>IF(SUM(T12-T8)&gt;15000,(15000*13%),IF(SUM(T12-T8)=15000,15000*13%,IF(SUM(T12-T8)&lt;15000,SUM(T12-T8)*13%,0)))</f>
        <v>1426.4887539936103</v>
      </c>
      <c r="U22" s="239">
        <f>IF(SUM(U12-U8)&gt;15000,(15000*13%),IF(SUM(U12-U8)=15000,15000*13%,IF(SUM(U12-U8)&lt;15000,SUM(U12-U8)*13%,0)))</f>
        <v>1391.8348242811503</v>
      </c>
      <c r="W22" s="252">
        <f>IF(SUM(W12-W8)&gt;15000,(15000*13%),IF(SUM(W12-W8)=15000,15000*13%,IF(SUM(W12-W8)&lt;15000,SUM(W12-W8)*13%,0)))</f>
        <v>1268.4644089456867</v>
      </c>
      <c r="Y22" s="103">
        <f t="shared" ref="Y22" si="21">IF(SUM(Y12-Y8)&gt;15000,(15000*13%),IF(SUM(Y12-Y8)=15000,15000*13%,IF(SUM(Y12-Y8)&lt;15000,SUM(Y12-Y8)*13%,0)))</f>
        <v>1162.007284345048</v>
      </c>
      <c r="AA22" s="103">
        <f t="shared" ref="AA22" si="22">IF(SUM(AA12-AA8)&gt;15000,(15000*13%),IF(SUM(AA12-AA8)=15000,15000*13%,IF(SUM(AA12-AA8)&lt;15000,SUM(AA12-AA8)*13%,0)))</f>
        <v>1126.0043450479236</v>
      </c>
      <c r="AC22" s="103">
        <f t="shared" ref="AC22" si="23">IF(SUM(AC12-AC8)&gt;15000,(15000*13%),IF(SUM(AC12-AC8)=15000,15000*13%,IF(SUM(AC12-AC8)&lt;15000,SUM(AC12-AC8)*13%,0)))</f>
        <v>1153.1615070287542</v>
      </c>
    </row>
    <row r="23" spans="2:29">
      <c r="B23" s="39" t="s">
        <v>18</v>
      </c>
      <c r="D23" s="136">
        <f>IF((D12)&gt;21000,350,IF((D12)&lt;21000,(D12)*3.25%))</f>
        <v>334.35496484664537</v>
      </c>
      <c r="E23" s="115"/>
      <c r="F23" s="136">
        <f>IF((F12)&gt;21000,350,IF((F12)&lt;21000,(F12)*3.25%))</f>
        <v>351.4374913466454</v>
      </c>
      <c r="G23" s="115"/>
      <c r="H23" s="137">
        <f>IF((H12)&gt;21000,350,IF((H12)&lt;21000,(H12)*3.25%))</f>
        <v>389.13111990242015</v>
      </c>
      <c r="I23" s="138">
        <f>IF((I12)&gt;21000,350,IF((I12)&lt;21000,(I12)*3.25%))</f>
        <v>482.39132063835473</v>
      </c>
      <c r="J23" s="139">
        <f>IF((J12)&gt;21000,350,IF((J12)&lt;21000,(J12)*3.25%))</f>
        <v>355.24380374492011</v>
      </c>
      <c r="L23" s="237">
        <f>IF((L12)&gt;21000,350,IF((L12)&lt;21000,(L12)*3.25%))</f>
        <v>515.34251429712469</v>
      </c>
      <c r="M23" s="238">
        <f>IF((M12)&gt;21000,350,IF((M12)&lt;21000,(M12)*3.25%))</f>
        <v>560.73955055910551</v>
      </c>
      <c r="N23" s="239">
        <f>IF((N12)&gt;21000,350,IF((N12)&lt;21000,(N12)*3.25%))</f>
        <v>474.07254608626198</v>
      </c>
      <c r="P23" s="51">
        <f>IF((P12)&gt;21000,350,IF((P12)&lt;21000,(P12)*3.25%))</f>
        <v>384.59222843450482</v>
      </c>
      <c r="Q23" s="11">
        <f>IF((Q12)&gt;21000,350,IF((Q12)&lt;21000,(Q12)*3.25%))</f>
        <v>330.79133386581469</v>
      </c>
      <c r="S23" s="237">
        <f>IF((S12)&gt;21000,350,IF((S12)&lt;21000,(S12)*3.25%))</f>
        <v>411.46370607028751</v>
      </c>
      <c r="T23" s="239">
        <f>IF((T12)&gt;21000,350,IF((T12)&lt;21000,(T12)*3.25%))</f>
        <v>517.85468849840254</v>
      </c>
      <c r="U23" s="239">
        <f>IF((U12)&gt;21000,350,IF((U12)&lt;21000,(U12)*3.25%))</f>
        <v>386.06170607028758</v>
      </c>
      <c r="W23" s="252">
        <f>IF((W12)&gt;21000,350,IF((W12)&lt;21000,(W12)*3.25%))</f>
        <v>337.37270223642173</v>
      </c>
      <c r="Y23" s="103">
        <f t="shared" ref="Y23" si="24">IF((Y12)&gt;21000,350,IF((Y12)&lt;21000,(Y12)*3.25%))</f>
        <v>303.64157108626199</v>
      </c>
      <c r="AA23" s="103">
        <f t="shared" ref="AA23" si="25">IF((AA12)&gt;21000,350,IF((AA12)&lt;21000,(AA12)*3.25%))</f>
        <v>326.45508626198085</v>
      </c>
      <c r="AC23" s="103">
        <f t="shared" ref="AC23" si="26">IF((AC12)&gt;21000,350,IF((AC12)&lt;21000,(AC12)*3.25%))</f>
        <v>325.12094325718857</v>
      </c>
    </row>
    <row r="24" spans="2:29">
      <c r="B24" s="46" t="s">
        <v>4</v>
      </c>
      <c r="D24" s="136">
        <f>8.33%*D7</f>
        <v>756.19740000000002</v>
      </c>
      <c r="E24" s="115"/>
      <c r="F24" s="136">
        <f>8.33%*F7</f>
        <v>756.19740000000002</v>
      </c>
      <c r="G24" s="115"/>
      <c r="H24" s="137">
        <f>8.33%*H7</f>
        <v>848.72953899999993</v>
      </c>
      <c r="I24" s="138">
        <f>8.33%*I7</f>
        <v>935.72389399999997</v>
      </c>
      <c r="J24" s="139">
        <f>8.33%*J7</f>
        <v>808.31654400000002</v>
      </c>
      <c r="L24" s="237">
        <f>8.33%*L7</f>
        <v>1205.3351730000002</v>
      </c>
      <c r="M24" s="238">
        <f>8.33%*M7</f>
        <v>1311.514351</v>
      </c>
      <c r="N24" s="239">
        <f>8.33%*N7</f>
        <v>1108.8087990000001</v>
      </c>
      <c r="P24" s="51">
        <f>8.33%*P7</f>
        <v>513.29459999999995</v>
      </c>
      <c r="Q24" s="11">
        <f>8.33%*Q7</f>
        <v>437.32499999999999</v>
      </c>
      <c r="S24" s="237">
        <f>8.33%*S7</f>
        <v>813.84100000000001</v>
      </c>
      <c r="T24" s="239">
        <f>8.33%*T7</f>
        <v>826.50260000000003</v>
      </c>
      <c r="U24" s="239">
        <f>8.33%*U7</f>
        <v>813.84100000000001</v>
      </c>
      <c r="W24" s="252">
        <f>8.33%*W7</f>
        <v>741.70320000000004</v>
      </c>
      <c r="Y24" s="103">
        <f t="shared" ref="Y24" si="27">8.33%*Y7</f>
        <v>673.56380000000001</v>
      </c>
      <c r="AA24" s="103">
        <f t="shared" ref="AA24" si="28">8.33%*AA7</f>
        <v>658.40319999999997</v>
      </c>
      <c r="AC24" s="103">
        <f t="shared" ref="AC24" si="29">8.33%*AC7</f>
        <v>674.28267900000003</v>
      </c>
    </row>
    <row r="25" spans="2:29">
      <c r="B25" s="39" t="s">
        <v>85</v>
      </c>
      <c r="D25" s="136">
        <f>4.81%*D7</f>
        <v>436.65179999999998</v>
      </c>
      <c r="E25" s="115"/>
      <c r="F25" s="136">
        <f>4.81%*F7</f>
        <v>436.65179999999998</v>
      </c>
      <c r="G25" s="115"/>
      <c r="H25" s="137">
        <f>4.81%*H7</f>
        <v>490.08272299999999</v>
      </c>
      <c r="I25" s="137">
        <f>4.81%*I7</f>
        <v>540.31595800000002</v>
      </c>
      <c r="J25" s="136">
        <f>4.81%*J7</f>
        <v>466.74700799999999</v>
      </c>
      <c r="L25" s="237">
        <f>4.81%*L7</f>
        <v>695.99786100000006</v>
      </c>
      <c r="M25" s="237">
        <f>4.81%*M7</f>
        <v>757.30900699999995</v>
      </c>
      <c r="N25" s="252">
        <f>4.81%*N7</f>
        <v>640.26054299999998</v>
      </c>
      <c r="P25" s="51">
        <f>4.81%*P7</f>
        <v>296.3922</v>
      </c>
      <c r="Q25" s="55">
        <f>4.81%*Q7</f>
        <v>252.52499999999998</v>
      </c>
      <c r="S25" s="237">
        <f>4.81%*S7</f>
        <v>469.93699999999995</v>
      </c>
      <c r="T25" s="237">
        <f>4.81%*T7</f>
        <v>477.2482</v>
      </c>
      <c r="U25" s="252">
        <f>4.81%*U7</f>
        <v>469.93699999999995</v>
      </c>
      <c r="W25" s="252">
        <f>4.81%*W7</f>
        <v>428.2824</v>
      </c>
      <c r="Y25" s="103">
        <f t="shared" ref="Y25" si="30">4.81%*Y7</f>
        <v>388.9366</v>
      </c>
      <c r="AA25" s="103">
        <f t="shared" ref="AA25" si="31">4.81%*AA7</f>
        <v>380.18239999999997</v>
      </c>
      <c r="AC25" s="103">
        <f t="shared" ref="AC25" si="32">4.81%*AC7</f>
        <v>389.35170299999999</v>
      </c>
    </row>
    <row r="26" spans="2:29">
      <c r="B26" s="46" t="s">
        <v>8</v>
      </c>
      <c r="D26" s="156">
        <v>0</v>
      </c>
      <c r="E26" s="115"/>
      <c r="F26" s="156">
        <v>0</v>
      </c>
      <c r="G26" s="115"/>
      <c r="H26" s="157">
        <v>75</v>
      </c>
      <c r="I26" s="158">
        <f>H26</f>
        <v>75</v>
      </c>
      <c r="J26" s="159">
        <f>I26</f>
        <v>75</v>
      </c>
      <c r="L26" s="253">
        <v>3</v>
      </c>
      <c r="M26" s="254">
        <f>L26</f>
        <v>3</v>
      </c>
      <c r="N26" s="255">
        <f>M26</f>
        <v>3</v>
      </c>
      <c r="P26" s="56"/>
      <c r="Q26" s="15"/>
      <c r="S26" s="253"/>
      <c r="T26" s="255"/>
      <c r="U26" s="255"/>
      <c r="W26" s="281">
        <v>0</v>
      </c>
      <c r="Y26" s="108">
        <f>20/12</f>
        <v>1.6666666666666667</v>
      </c>
      <c r="AA26" s="108" t="s">
        <v>9</v>
      </c>
      <c r="AC26" s="108" t="s">
        <v>9</v>
      </c>
    </row>
    <row r="27" spans="2:29">
      <c r="B27" s="46" t="s">
        <v>36</v>
      </c>
      <c r="D27" s="156">
        <v>100</v>
      </c>
      <c r="E27" s="115"/>
      <c r="F27" s="156">
        <v>100</v>
      </c>
      <c r="G27" s="115"/>
      <c r="H27" s="157">
        <v>100</v>
      </c>
      <c r="I27" s="158">
        <v>100</v>
      </c>
      <c r="J27" s="159">
        <v>100</v>
      </c>
      <c r="L27" s="253">
        <v>100</v>
      </c>
      <c r="M27" s="254">
        <v>100</v>
      </c>
      <c r="N27" s="255">
        <v>100</v>
      </c>
      <c r="P27" s="56">
        <v>100</v>
      </c>
      <c r="Q27" s="15">
        <v>100</v>
      </c>
      <c r="S27" s="253">
        <v>100</v>
      </c>
      <c r="T27" s="255">
        <v>100</v>
      </c>
      <c r="U27" s="255">
        <v>100</v>
      </c>
      <c r="W27" s="281">
        <v>100</v>
      </c>
      <c r="Y27" s="108">
        <v>100</v>
      </c>
      <c r="AA27" s="108">
        <v>100</v>
      </c>
      <c r="AC27" s="108">
        <v>100</v>
      </c>
    </row>
    <row r="28" spans="2:29">
      <c r="B28" s="77" t="s">
        <v>90</v>
      </c>
      <c r="D28" s="172"/>
      <c r="E28" s="115"/>
      <c r="F28" s="172"/>
      <c r="G28" s="115"/>
      <c r="H28" s="173"/>
      <c r="I28" s="174"/>
      <c r="J28" s="175"/>
      <c r="L28" s="265"/>
      <c r="M28" s="266"/>
      <c r="N28" s="267"/>
      <c r="P28" s="78"/>
      <c r="Q28" s="79"/>
      <c r="S28" s="265"/>
      <c r="T28" s="267"/>
      <c r="U28" s="267"/>
      <c r="W28" s="285"/>
      <c r="Y28" s="112"/>
      <c r="AA28" s="112"/>
      <c r="AC28" s="112"/>
    </row>
    <row r="29" spans="2:29" ht="15" thickBot="1">
      <c r="B29" s="43" t="s">
        <v>37</v>
      </c>
      <c r="D29" s="176">
        <v>250</v>
      </c>
      <c r="E29" s="115"/>
      <c r="F29" s="176">
        <v>250</v>
      </c>
      <c r="G29" s="115"/>
      <c r="H29" s="177">
        <v>250</v>
      </c>
      <c r="I29" s="178">
        <f>H29</f>
        <v>250</v>
      </c>
      <c r="J29" s="179">
        <f>I29</f>
        <v>250</v>
      </c>
      <c r="L29" s="268">
        <v>250</v>
      </c>
      <c r="M29" s="269">
        <f>L29</f>
        <v>250</v>
      </c>
      <c r="N29" s="270">
        <f>M29</f>
        <v>250</v>
      </c>
      <c r="P29" s="60">
        <v>250</v>
      </c>
      <c r="Q29" s="19">
        <f>P29</f>
        <v>250</v>
      </c>
      <c r="S29" s="268">
        <v>250</v>
      </c>
      <c r="T29" s="270">
        <f>R29</f>
        <v>0</v>
      </c>
      <c r="U29" s="270">
        <f>S29</f>
        <v>250</v>
      </c>
      <c r="W29" s="286">
        <v>250</v>
      </c>
      <c r="Y29" s="113">
        <v>250</v>
      </c>
      <c r="AA29" s="113">
        <v>250</v>
      </c>
      <c r="AC29" s="113">
        <v>250</v>
      </c>
    </row>
    <row r="30" spans="2:29" ht="15" thickBot="1">
      <c r="B30" s="44" t="s">
        <v>14</v>
      </c>
      <c r="D30" s="164">
        <f>SUM(D22:D29)</f>
        <v>3151.604548233227</v>
      </c>
      <c r="E30" s="115"/>
      <c r="F30" s="164">
        <f>SUM(F22:F29)</f>
        <v>3168.6870747332273</v>
      </c>
      <c r="G30" s="115"/>
      <c r="H30" s="165">
        <f>SUM(H22:H29)</f>
        <v>3612.9083196021006</v>
      </c>
      <c r="I30" s="166">
        <f>SUM(I22:I29)</f>
        <v>3993.0417892517735</v>
      </c>
      <c r="J30" s="167">
        <f>SUM(J22:J29)</f>
        <v>3445.7547934446006</v>
      </c>
      <c r="L30" s="259">
        <f>SUM(L22:L29)</f>
        <v>4719.6755482971248</v>
      </c>
      <c r="M30" s="260">
        <f>SUM(M22:M29)</f>
        <v>4932.5629085591054</v>
      </c>
      <c r="N30" s="261">
        <f>SUM(N22:N29)</f>
        <v>4472.4320724313102</v>
      </c>
      <c r="P30" s="58">
        <f>SUM(P22:P29)</f>
        <v>2682.1179421725237</v>
      </c>
      <c r="Q30" s="17">
        <f>SUM(Q22:Q29)</f>
        <v>2352.5566693290734</v>
      </c>
      <c r="S30" s="259">
        <f>SUM(S22:S29)</f>
        <v>3437.0765303514377</v>
      </c>
      <c r="T30" s="261">
        <f>SUM(T22:T29)</f>
        <v>3348.0942424920131</v>
      </c>
      <c r="U30" s="261">
        <f>SUM(U22:U29)</f>
        <v>3411.6745303514376</v>
      </c>
      <c r="W30" s="283">
        <f>SUM(W22:W29)</f>
        <v>3125.8227111821084</v>
      </c>
      <c r="Y30" s="110">
        <f t="shared" ref="Y30" si="33">SUM(Y22:Y29)</f>
        <v>2879.8159220979765</v>
      </c>
      <c r="AA30" s="110">
        <f t="shared" ref="AA30" si="34">SUM(AA22:AA29)</f>
        <v>2841.0450313099045</v>
      </c>
      <c r="AC30" s="110">
        <f t="shared" ref="AC30" si="35">SUM(AC22:AC29)</f>
        <v>2891.9168322859427</v>
      </c>
    </row>
    <row r="31" spans="2:29" ht="16.2" thickBot="1">
      <c r="B31" s="47" t="s">
        <v>41</v>
      </c>
      <c r="D31" s="89">
        <f>INT(D30+D12)</f>
        <v>13439</v>
      </c>
      <c r="F31" s="89">
        <f>INT(F30+F12)</f>
        <v>13982</v>
      </c>
      <c r="H31" s="61">
        <f>H30+H12</f>
        <v>15586.173547368873</v>
      </c>
      <c r="I31" s="20">
        <f>I30+I12</f>
        <v>18835.851655047303</v>
      </c>
      <c r="J31" s="21">
        <f>J30+J12</f>
        <v>14376.333370211374</v>
      </c>
      <c r="L31" s="61">
        <f>L30+L12</f>
        <v>20576.36829590096</v>
      </c>
      <c r="M31" s="20">
        <f>M30+M12</f>
        <v>22186.087541146968</v>
      </c>
      <c r="N31" s="21">
        <f>N30+N12</f>
        <v>19059.279644316295</v>
      </c>
      <c r="P31" s="61">
        <f>INT(P30+P12)</f>
        <v>14515</v>
      </c>
      <c r="Q31" s="89">
        <f>INT(Q30+Q12)</f>
        <v>12530</v>
      </c>
      <c r="S31" s="61">
        <f>INT(S30+S12)</f>
        <v>16097</v>
      </c>
      <c r="T31" s="61">
        <f>INT(T30+T12)</f>
        <v>19282</v>
      </c>
      <c r="U31" s="89">
        <f>INT(U30+U12)</f>
        <v>15290</v>
      </c>
      <c r="W31" s="89">
        <f>INT(W30+W12)</f>
        <v>13506</v>
      </c>
      <c r="Y31" s="89">
        <f t="shared" ref="Y31" si="36">INT(Y30+Y12)</f>
        <v>12222</v>
      </c>
      <c r="AA31" s="89">
        <f t="shared" ref="AA31" si="37">INT(AA30+AA12)</f>
        <v>12885</v>
      </c>
      <c r="AC31" s="89">
        <f t="shared" ref="AC31" si="38">INT(AC30+AC12)</f>
        <v>12895</v>
      </c>
    </row>
  </sheetData>
  <mergeCells count="4">
    <mergeCell ref="P2:Q2"/>
    <mergeCell ref="S2:U2"/>
    <mergeCell ref="H2:J2"/>
    <mergeCell ref="L2:N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topLeftCell="A9" workbookViewId="0">
      <selection activeCell="B29" sqref="B29"/>
    </sheetView>
  </sheetViews>
  <sheetFormatPr defaultRowHeight="14.4"/>
  <cols>
    <col min="4" max="4" width="11.44140625" bestFit="1" customWidth="1"/>
    <col min="5" max="5" width="18.44140625" bestFit="1" customWidth="1"/>
    <col min="7" max="7" width="46.77734375" customWidth="1"/>
    <col min="8" max="8" width="23.109375" style="291" customWidth="1"/>
    <col min="9" max="9" width="20.5546875" customWidth="1"/>
  </cols>
  <sheetData>
    <row r="1" spans="1:9" ht="27.6">
      <c r="A1" s="206" t="s">
        <v>171</v>
      </c>
      <c r="B1" s="206" t="s">
        <v>43</v>
      </c>
      <c r="C1" s="206" t="s">
        <v>44</v>
      </c>
      <c r="D1" s="206" t="s">
        <v>45</v>
      </c>
      <c r="E1" s="206" t="s">
        <v>172</v>
      </c>
      <c r="F1" s="206" t="s">
        <v>173</v>
      </c>
      <c r="G1" s="206" t="s">
        <v>211</v>
      </c>
      <c r="H1" s="206" t="s">
        <v>174</v>
      </c>
      <c r="I1" s="206" t="s">
        <v>175</v>
      </c>
    </row>
    <row r="2" spans="1:9" ht="27.6">
      <c r="A2" s="207">
        <v>1</v>
      </c>
      <c r="B2" s="208" t="s">
        <v>176</v>
      </c>
      <c r="C2" s="208" t="s">
        <v>56</v>
      </c>
      <c r="D2" s="208" t="s">
        <v>57</v>
      </c>
      <c r="E2" s="208" t="s">
        <v>170</v>
      </c>
      <c r="F2" s="207">
        <v>87000</v>
      </c>
      <c r="G2" s="208" t="s">
        <v>177</v>
      </c>
      <c r="H2" s="208" t="s">
        <v>178</v>
      </c>
      <c r="I2" s="209" t="s">
        <v>179</v>
      </c>
    </row>
    <row r="3" spans="1:9" ht="41.4">
      <c r="A3" s="207">
        <v>2</v>
      </c>
      <c r="B3" s="208" t="s">
        <v>176</v>
      </c>
      <c r="C3" s="208" t="s">
        <v>180</v>
      </c>
      <c r="D3" s="208" t="s">
        <v>57</v>
      </c>
      <c r="E3" s="208" t="s">
        <v>68</v>
      </c>
      <c r="F3" s="207">
        <v>50000</v>
      </c>
      <c r="G3" s="208" t="s">
        <v>181</v>
      </c>
      <c r="H3" s="208" t="s">
        <v>182</v>
      </c>
      <c r="I3" s="209" t="s">
        <v>179</v>
      </c>
    </row>
    <row r="4" spans="1:9" ht="27.6">
      <c r="A4" s="207">
        <v>3</v>
      </c>
      <c r="B4" s="208" t="s">
        <v>183</v>
      </c>
      <c r="C4" s="208" t="s">
        <v>184</v>
      </c>
      <c r="D4" s="208" t="s">
        <v>59</v>
      </c>
      <c r="E4" s="208" t="s">
        <v>61</v>
      </c>
      <c r="F4" s="207">
        <v>13000</v>
      </c>
      <c r="G4" s="208" t="s">
        <v>185</v>
      </c>
      <c r="H4" s="208" t="s">
        <v>186</v>
      </c>
      <c r="I4" s="209" t="s">
        <v>187</v>
      </c>
    </row>
    <row r="5" spans="1:9" ht="27.6">
      <c r="A5" s="207">
        <v>4</v>
      </c>
      <c r="B5" s="208" t="s">
        <v>183</v>
      </c>
      <c r="C5" s="208" t="s">
        <v>184</v>
      </c>
      <c r="D5" s="208" t="s">
        <v>59</v>
      </c>
      <c r="E5" s="208" t="s">
        <v>163</v>
      </c>
      <c r="F5" s="207">
        <v>13166</v>
      </c>
      <c r="G5" s="208" t="s">
        <v>188</v>
      </c>
      <c r="H5" s="208" t="s">
        <v>186</v>
      </c>
      <c r="I5" s="209" t="s">
        <v>187</v>
      </c>
    </row>
    <row r="6" spans="1:9" ht="27.6">
      <c r="A6" s="207">
        <v>5</v>
      </c>
      <c r="B6" s="208" t="s">
        <v>183</v>
      </c>
      <c r="C6" s="208" t="s">
        <v>184</v>
      </c>
      <c r="D6" s="208" t="s">
        <v>59</v>
      </c>
      <c r="E6" s="208" t="s">
        <v>164</v>
      </c>
      <c r="F6" s="207">
        <v>24192</v>
      </c>
      <c r="G6" s="208" t="s">
        <v>189</v>
      </c>
      <c r="H6" s="208" t="s">
        <v>186</v>
      </c>
      <c r="I6" s="209" t="s">
        <v>187</v>
      </c>
    </row>
    <row r="7" spans="1:9" ht="41.4">
      <c r="A7" s="207">
        <v>6</v>
      </c>
      <c r="B7" s="208" t="s">
        <v>183</v>
      </c>
      <c r="C7" s="208" t="s">
        <v>184</v>
      </c>
      <c r="D7" s="208" t="s">
        <v>59</v>
      </c>
      <c r="E7" s="208" t="s">
        <v>60</v>
      </c>
      <c r="F7" s="207">
        <v>10700</v>
      </c>
      <c r="G7" s="208" t="s">
        <v>190</v>
      </c>
      <c r="H7" s="208" t="s">
        <v>186</v>
      </c>
      <c r="I7" s="209" t="s">
        <v>187</v>
      </c>
    </row>
    <row r="8" spans="1:9" ht="41.4">
      <c r="A8" s="207">
        <v>7</v>
      </c>
      <c r="B8" s="208" t="s">
        <v>183</v>
      </c>
      <c r="C8" s="208" t="s">
        <v>184</v>
      </c>
      <c r="D8" s="208" t="s">
        <v>59</v>
      </c>
      <c r="E8" s="208" t="s">
        <v>165</v>
      </c>
      <c r="F8" s="207">
        <v>9200</v>
      </c>
      <c r="G8" s="208" t="s">
        <v>191</v>
      </c>
      <c r="H8" s="208" t="s">
        <v>186</v>
      </c>
      <c r="I8" s="209" t="s">
        <v>187</v>
      </c>
    </row>
    <row r="9" spans="1:9" ht="27.6">
      <c r="A9" s="207">
        <v>8</v>
      </c>
      <c r="B9" s="208" t="s">
        <v>183</v>
      </c>
      <c r="C9" s="208" t="s">
        <v>184</v>
      </c>
      <c r="D9" s="208" t="s">
        <v>59</v>
      </c>
      <c r="E9" s="208" t="s">
        <v>166</v>
      </c>
      <c r="F9" s="207">
        <v>1062</v>
      </c>
      <c r="G9" s="208" t="s">
        <v>192</v>
      </c>
      <c r="H9" s="208" t="s">
        <v>186</v>
      </c>
      <c r="I9" s="209" t="s">
        <v>187</v>
      </c>
    </row>
    <row r="10" spans="1:9" ht="41.4">
      <c r="A10" s="207">
        <v>9</v>
      </c>
      <c r="B10" s="208" t="s">
        <v>193</v>
      </c>
      <c r="C10" s="209" t="s">
        <v>51</v>
      </c>
      <c r="D10" s="208" t="s">
        <v>194</v>
      </c>
      <c r="E10" s="208" t="s">
        <v>53</v>
      </c>
      <c r="F10" s="207">
        <v>20000</v>
      </c>
      <c r="G10" s="208" t="s">
        <v>195</v>
      </c>
      <c r="H10" s="208" t="s">
        <v>196</v>
      </c>
      <c r="I10" s="209" t="s">
        <v>197</v>
      </c>
    </row>
    <row r="11" spans="1:9" ht="27.6">
      <c r="A11" s="207">
        <v>10</v>
      </c>
      <c r="B11" s="208" t="s">
        <v>193</v>
      </c>
      <c r="C11" s="209" t="s">
        <v>63</v>
      </c>
      <c r="D11" s="208" t="s">
        <v>198</v>
      </c>
      <c r="E11" s="208" t="s">
        <v>199</v>
      </c>
      <c r="F11" s="207">
        <v>34500</v>
      </c>
      <c r="G11" s="210" t="s">
        <v>200</v>
      </c>
      <c r="H11" s="208" t="s">
        <v>201</v>
      </c>
      <c r="I11" s="209" t="s">
        <v>197</v>
      </c>
    </row>
    <row r="12" spans="1:9" ht="27.6">
      <c r="A12" s="207">
        <v>11</v>
      </c>
      <c r="B12" s="208" t="s">
        <v>193</v>
      </c>
      <c r="C12" s="209" t="s">
        <v>51</v>
      </c>
      <c r="D12" s="208" t="s">
        <v>202</v>
      </c>
      <c r="E12" s="208" t="s">
        <v>94</v>
      </c>
      <c r="F12" s="207">
        <v>8425</v>
      </c>
      <c r="G12" s="208" t="s">
        <v>203</v>
      </c>
      <c r="H12" s="208" t="s">
        <v>204</v>
      </c>
      <c r="I12" s="209" t="s">
        <v>197</v>
      </c>
    </row>
    <row r="13" spans="1:9" ht="27.6">
      <c r="A13" s="207">
        <v>12</v>
      </c>
      <c r="B13" s="208" t="s">
        <v>193</v>
      </c>
      <c r="C13" s="209" t="s">
        <v>205</v>
      </c>
      <c r="D13" s="208" t="s">
        <v>206</v>
      </c>
      <c r="E13" s="208" t="s">
        <v>95</v>
      </c>
      <c r="F13" s="207">
        <v>21500</v>
      </c>
      <c r="G13" s="208" t="s">
        <v>207</v>
      </c>
      <c r="H13" s="208" t="s">
        <v>208</v>
      </c>
      <c r="I13" s="209" t="s">
        <v>197</v>
      </c>
    </row>
    <row r="14" spans="1:9" ht="27.6">
      <c r="A14" s="207">
        <v>13</v>
      </c>
      <c r="B14" s="208" t="s">
        <v>193</v>
      </c>
      <c r="C14" s="209" t="s">
        <v>63</v>
      </c>
      <c r="D14" s="208" t="s">
        <v>198</v>
      </c>
      <c r="E14" s="208" t="s">
        <v>162</v>
      </c>
      <c r="F14" s="207">
        <v>8000</v>
      </c>
      <c r="G14" s="208" t="s">
        <v>209</v>
      </c>
      <c r="H14" s="208" t="s">
        <v>201</v>
      </c>
      <c r="I14" s="209" t="s">
        <v>197</v>
      </c>
    </row>
    <row r="15" spans="1:9" ht="27.6">
      <c r="A15" s="211">
        <v>14</v>
      </c>
      <c r="B15" s="212" t="s">
        <v>193</v>
      </c>
      <c r="C15" s="213" t="s">
        <v>205</v>
      </c>
      <c r="D15" s="212" t="s">
        <v>213</v>
      </c>
      <c r="E15" s="212" t="s">
        <v>214</v>
      </c>
      <c r="F15" s="211">
        <v>9000</v>
      </c>
      <c r="G15" s="212" t="s">
        <v>215</v>
      </c>
      <c r="H15" s="212" t="s">
        <v>208</v>
      </c>
      <c r="I15" s="213" t="s">
        <v>197</v>
      </c>
    </row>
    <row r="16" spans="1:9" ht="27.6">
      <c r="A16" s="287">
        <v>15</v>
      </c>
      <c r="B16" s="195" t="s">
        <v>54</v>
      </c>
      <c r="C16" s="195" t="s">
        <v>222</v>
      </c>
      <c r="D16" s="195" t="s">
        <v>223</v>
      </c>
      <c r="E16" s="196" t="s">
        <v>224</v>
      </c>
      <c r="F16" s="197">
        <v>10700</v>
      </c>
      <c r="G16" s="288" t="s">
        <v>242</v>
      </c>
      <c r="H16" s="288">
        <v>8010538374</v>
      </c>
      <c r="I16" s="289" t="s">
        <v>187</v>
      </c>
    </row>
    <row r="17" spans="1:9" ht="27.6">
      <c r="A17" s="287">
        <v>16</v>
      </c>
      <c r="B17" s="202" t="s">
        <v>54</v>
      </c>
      <c r="C17" s="202" t="s">
        <v>227</v>
      </c>
      <c r="D17" s="202" t="s">
        <v>228</v>
      </c>
      <c r="E17" s="203" t="s">
        <v>230</v>
      </c>
      <c r="F17" s="197">
        <v>3200</v>
      </c>
      <c r="G17" s="288" t="s">
        <v>243</v>
      </c>
      <c r="H17" s="288">
        <v>8797874047</v>
      </c>
      <c r="I17" s="289" t="s">
        <v>187</v>
      </c>
    </row>
    <row r="18" spans="1:9" ht="27.6">
      <c r="A18" s="287">
        <v>17</v>
      </c>
      <c r="B18" s="195" t="s">
        <v>54</v>
      </c>
      <c r="C18" s="202" t="s">
        <v>227</v>
      </c>
      <c r="D18" s="195" t="s">
        <v>229</v>
      </c>
      <c r="E18" s="196" t="s">
        <v>231</v>
      </c>
      <c r="F18" s="197">
        <v>7000</v>
      </c>
      <c r="G18" s="288" t="s">
        <v>244</v>
      </c>
      <c r="H18" s="288">
        <v>9304118961</v>
      </c>
      <c r="I18" s="289" t="s">
        <v>187</v>
      </c>
    </row>
    <row r="19" spans="1:9" ht="27.6">
      <c r="A19" s="287">
        <v>18</v>
      </c>
      <c r="B19" s="202" t="s">
        <v>54</v>
      </c>
      <c r="C19" s="195" t="s">
        <v>58</v>
      </c>
      <c r="D19" s="195" t="s">
        <v>235</v>
      </c>
      <c r="E19" s="195" t="s">
        <v>232</v>
      </c>
      <c r="F19" s="197">
        <v>10000</v>
      </c>
      <c r="G19" s="288" t="s">
        <v>245</v>
      </c>
      <c r="H19" s="288">
        <v>7758906357</v>
      </c>
      <c r="I19" s="289" t="s">
        <v>187</v>
      </c>
    </row>
    <row r="20" spans="1:9" ht="27.6">
      <c r="A20" s="287">
        <v>19</v>
      </c>
      <c r="B20" s="195" t="s">
        <v>54</v>
      </c>
      <c r="C20" s="202" t="s">
        <v>236</v>
      </c>
      <c r="D20" s="195" t="s">
        <v>237</v>
      </c>
      <c r="E20" s="204" t="s">
        <v>233</v>
      </c>
      <c r="F20" s="197">
        <v>11000</v>
      </c>
      <c r="G20" s="288" t="s">
        <v>246</v>
      </c>
      <c r="H20" s="288">
        <v>9175425046</v>
      </c>
      <c r="I20" s="289" t="s">
        <v>187</v>
      </c>
    </row>
    <row r="21" spans="1:9" ht="27.6">
      <c r="A21" s="287">
        <v>20</v>
      </c>
      <c r="B21" s="202" t="s">
        <v>54</v>
      </c>
      <c r="C21" s="195" t="s">
        <v>222</v>
      </c>
      <c r="D21" s="195" t="s">
        <v>223</v>
      </c>
      <c r="E21" s="195" t="s">
        <v>234</v>
      </c>
      <c r="F21" s="205">
        <v>10400</v>
      </c>
      <c r="G21" s="288" t="s">
        <v>247</v>
      </c>
      <c r="H21" s="288">
        <v>8010538374</v>
      </c>
      <c r="I21" s="289" t="s">
        <v>187</v>
      </c>
    </row>
    <row r="22" spans="1:9" ht="15" thickBot="1">
      <c r="A22" s="92"/>
      <c r="B22" s="91"/>
      <c r="C22" s="91"/>
      <c r="D22" s="91"/>
      <c r="E22" s="93" t="s">
        <v>210</v>
      </c>
      <c r="F22" s="94">
        <f>SUM(F2:F21)</f>
        <v>362045</v>
      </c>
      <c r="G22" s="91"/>
      <c r="H22" s="290"/>
      <c r="I22" s="90"/>
    </row>
  </sheetData>
  <conditionalFormatting sqref="E16:E19">
    <cfRule type="duplicateValues" dxfId="1" priority="1"/>
  </conditionalFormatting>
  <conditionalFormatting sqref="E20">
    <cfRule type="duplicateValues" dxfId="0" priority="2"/>
  </conditionalFormatting>
  <dataValidations count="3">
    <dataValidation allowBlank="1" showInputMessage="1" showErrorMessage="1" error="Reffer List Option_x000a_" sqref="E16:F20" xr:uid="{B39A44C9-507B-4FED-9BA9-7B3DADB4AFC2}"/>
    <dataValidation allowBlank="1" showInputMessage="1" showErrorMessage="1" sqref="C16:D21" xr:uid="{88F22E73-26B6-45B9-8005-272089B7EE2C}"/>
    <dataValidation type="list" allowBlank="1" showInputMessage="1" showErrorMessage="1" error="Reffer List Option" sqref="B16:B20" xr:uid="{0E74EC78-5CA8-4EF7-86E2-DB2ACFBE3BDB}">
      <formula1>"West,East,Central,North,South I,South II,North East"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 of Work</vt:lpstr>
      <vt:lpstr>Cost Schedule</vt:lpstr>
      <vt:lpstr>Wage Breakup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2019-07-31T02:24:35Z</dcterms:created>
  <dcterms:modified xsi:type="dcterms:W3CDTF">2021-07-23T13:04:49Z</dcterms:modified>
</cp:coreProperties>
</file>