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ustomers\DLF\Regal Garden\"/>
    </mc:Choice>
  </mc:AlternateContent>
  <xr:revisionPtr revIDLastSave="0" documentId="13_ncr:1_{B24123AD-C2F3-4A8D-B307-C05B7AC8C6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st Schedule" sheetId="14" r:id="rId1"/>
    <sheet name="Deployment" sheetId="17" r:id="rId2"/>
    <sheet name="Wage Breakup" sheetId="16" r:id="rId3"/>
  </sheets>
  <definedNames>
    <definedName name="_xlnm.Print_Area" localSheetId="0">'Cost Schedule'!$A$1:$M$123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6" l="1"/>
  <c r="M100" i="14"/>
  <c r="J121" i="14"/>
  <c r="J123" i="14" s="1"/>
  <c r="L84" i="14"/>
  <c r="L88" i="14"/>
  <c r="L83" i="14"/>
  <c r="L49" i="14"/>
  <c r="J37" i="14"/>
  <c r="I37" i="14"/>
  <c r="H37" i="14"/>
  <c r="G37" i="14"/>
  <c r="F37" i="14"/>
  <c r="L6" i="16"/>
  <c r="I6" i="16"/>
  <c r="S6" i="16"/>
  <c r="H6" i="16"/>
  <c r="R6" i="16"/>
  <c r="Q6" i="16"/>
  <c r="P6" i="16"/>
  <c r="O6" i="16"/>
  <c r="N6" i="16"/>
  <c r="M6" i="16"/>
  <c r="K6" i="16"/>
  <c r="J6" i="16"/>
  <c r="G6" i="16"/>
  <c r="F6" i="16"/>
  <c r="D6" i="16"/>
  <c r="K35" i="14"/>
  <c r="J14" i="14"/>
  <c r="I14" i="14"/>
  <c r="H14" i="14"/>
  <c r="G14" i="14"/>
  <c r="F14" i="14"/>
  <c r="K13" i="14"/>
  <c r="L97" i="14"/>
  <c r="K10" i="14"/>
  <c r="L10" i="14" s="1"/>
  <c r="E6" i="16"/>
  <c r="L95" i="14" l="1"/>
  <c r="E9" i="17"/>
  <c r="H24" i="14" s="1"/>
  <c r="D9" i="17"/>
  <c r="G24" i="14" s="1"/>
  <c r="F8" i="17"/>
  <c r="F7" i="17"/>
  <c r="F6" i="17"/>
  <c r="F5" i="17"/>
  <c r="F4" i="17"/>
  <c r="K24" i="14" l="1"/>
  <c r="F9" i="17"/>
  <c r="K34" i="14" l="1"/>
  <c r="L34" i="14" s="1"/>
  <c r="K33" i="14"/>
  <c r="K32" i="14"/>
  <c r="K29" i="14"/>
  <c r="K28" i="14"/>
  <c r="J30" i="14"/>
  <c r="K23" i="14"/>
  <c r="K25" i="14"/>
  <c r="J26" i="14"/>
  <c r="K17" i="14"/>
  <c r="K18" i="14"/>
  <c r="K19" i="14"/>
  <c r="K20" i="14"/>
  <c r="K7" i="14"/>
  <c r="K12" i="14"/>
  <c r="K11" i="14"/>
  <c r="K9" i="14"/>
  <c r="K8" i="14"/>
  <c r="J21" i="14"/>
  <c r="K16" i="14"/>
  <c r="K37" i="14" l="1"/>
  <c r="K14" i="14"/>
  <c r="K7" i="16" l="1"/>
  <c r="K8" i="16" s="1"/>
  <c r="J7" i="16"/>
  <c r="I7" i="16"/>
  <c r="I8" i="16" s="1"/>
  <c r="N7" i="16"/>
  <c r="N8" i="16" s="1"/>
  <c r="M7" i="16"/>
  <c r="M13" i="16" s="1"/>
  <c r="J12" i="16" l="1"/>
  <c r="J8" i="16"/>
  <c r="J11" i="16"/>
  <c r="J14" i="16"/>
  <c r="K12" i="16"/>
  <c r="I13" i="16"/>
  <c r="K13" i="16"/>
  <c r="M8" i="16"/>
  <c r="K11" i="16"/>
  <c r="J13" i="16"/>
  <c r="I12" i="16"/>
  <c r="I11" i="16"/>
  <c r="K26" i="16" l="1"/>
  <c r="I26" i="16"/>
  <c r="J16" i="16"/>
  <c r="J25" i="16"/>
  <c r="J17" i="16"/>
  <c r="J24" i="16"/>
  <c r="J26" i="16"/>
  <c r="K14" i="16"/>
  <c r="K16" i="16" s="1"/>
  <c r="I14" i="16"/>
  <c r="I25" i="16" s="1"/>
  <c r="K24" i="16" l="1"/>
  <c r="K17" i="16"/>
  <c r="K20" i="16" s="1"/>
  <c r="K22" i="16" s="1"/>
  <c r="J20" i="16"/>
  <c r="J22" i="16" s="1"/>
  <c r="K25" i="16"/>
  <c r="J32" i="16"/>
  <c r="J33" i="16" s="1"/>
  <c r="I16" i="16"/>
  <c r="I17" i="16"/>
  <c r="I24" i="16"/>
  <c r="I32" i="16" s="1"/>
  <c r="I33" i="16" s="1"/>
  <c r="K32" i="16" l="1"/>
  <c r="K33" i="16" s="1"/>
  <c r="I20" i="16"/>
  <c r="I22" i="16" s="1"/>
  <c r="R7" i="16"/>
  <c r="L12" i="14"/>
  <c r="R8" i="16" l="1"/>
  <c r="R11" i="16"/>
  <c r="R12" i="16"/>
  <c r="R14" i="16" l="1"/>
  <c r="R25" i="16" s="1"/>
  <c r="R26" i="16"/>
  <c r="R17" i="16"/>
  <c r="R24" i="16"/>
  <c r="R16" i="16"/>
  <c r="F21" i="14"/>
  <c r="N43" i="14"/>
  <c r="N42" i="14"/>
  <c r="N41" i="14"/>
  <c r="N40" i="14"/>
  <c r="R20" i="16" l="1"/>
  <c r="R22" i="16" s="1"/>
  <c r="R32" i="16"/>
  <c r="R33" i="16" s="1"/>
  <c r="E20" i="14" s="1"/>
  <c r="S7" i="16"/>
  <c r="Q7" i="16"/>
  <c r="P7" i="16"/>
  <c r="O7" i="16"/>
  <c r="O8" i="16" s="1"/>
  <c r="L7" i="16"/>
  <c r="H7" i="16"/>
  <c r="G7" i="16"/>
  <c r="F7" i="16"/>
  <c r="E7" i="16"/>
  <c r="D7" i="16"/>
  <c r="O13" i="16" l="1"/>
  <c r="F8" i="16"/>
  <c r="D8" i="16"/>
  <c r="S8" i="16"/>
  <c r="H8" i="16"/>
  <c r="E8" i="16"/>
  <c r="Q8" i="16"/>
  <c r="N12" i="16"/>
  <c r="N11" i="16"/>
  <c r="D11" i="16"/>
  <c r="D12" i="16"/>
  <c r="O12" i="16"/>
  <c r="O11" i="16"/>
  <c r="F11" i="16"/>
  <c r="F12" i="16"/>
  <c r="G11" i="16"/>
  <c r="G12" i="16"/>
  <c r="S12" i="16"/>
  <c r="S11" i="16"/>
  <c r="H12" i="16"/>
  <c r="H11" i="16"/>
  <c r="E12" i="16"/>
  <c r="E11" i="16"/>
  <c r="L12" i="16"/>
  <c r="L11" i="16"/>
  <c r="P11" i="16"/>
  <c r="P12" i="16"/>
  <c r="M12" i="16"/>
  <c r="M11" i="16"/>
  <c r="Q11" i="16"/>
  <c r="Q12" i="16"/>
  <c r="P8" i="16"/>
  <c r="L8" i="16"/>
  <c r="G8" i="16"/>
  <c r="D14" i="16" l="1"/>
  <c r="F14" i="16"/>
  <c r="O14" i="16"/>
  <c r="L26" i="16"/>
  <c r="M26" i="16"/>
  <c r="Q26" i="16"/>
  <c r="S26" i="16"/>
  <c r="E26" i="16"/>
  <c r="P26" i="16"/>
  <c r="F26" i="16"/>
  <c r="H26" i="16"/>
  <c r="G26" i="16"/>
  <c r="O26" i="16"/>
  <c r="D26" i="16"/>
  <c r="N26" i="16"/>
  <c r="M14" i="16"/>
  <c r="M17" i="16" s="1"/>
  <c r="G14" i="16"/>
  <c r="G17" i="16" s="1"/>
  <c r="P14" i="16"/>
  <c r="L14" i="16"/>
  <c r="H14" i="16"/>
  <c r="E14" i="16"/>
  <c r="Q14" i="16"/>
  <c r="S14" i="16"/>
  <c r="N14" i="16"/>
  <c r="G25" i="16" l="1"/>
  <c r="M24" i="16"/>
  <c r="M16" i="16"/>
  <c r="M20" i="16" s="1"/>
  <c r="M22" i="16" s="1"/>
  <c r="M25" i="16"/>
  <c r="G16" i="16"/>
  <c r="G20" i="16" s="1"/>
  <c r="G22" i="16" s="1"/>
  <c r="G24" i="16"/>
  <c r="G32" i="16" s="1"/>
  <c r="G33" i="16" s="1"/>
  <c r="E17" i="16"/>
  <c r="E16" i="16"/>
  <c r="D16" i="16"/>
  <c r="D17" i="16"/>
  <c r="S17" i="16"/>
  <c r="S16" i="16"/>
  <c r="H17" i="16"/>
  <c r="H16" i="16"/>
  <c r="L16" i="16"/>
  <c r="L17" i="16"/>
  <c r="F16" i="16"/>
  <c r="F17" i="16"/>
  <c r="N17" i="16"/>
  <c r="N16" i="16"/>
  <c r="Q17" i="16"/>
  <c r="Q16" i="16"/>
  <c r="P17" i="16"/>
  <c r="P16" i="16"/>
  <c r="O16" i="16"/>
  <c r="O17" i="16"/>
  <c r="N25" i="16"/>
  <c r="N24" i="16"/>
  <c r="L25" i="16"/>
  <c r="L24" i="16"/>
  <c r="Q24" i="16"/>
  <c r="Q25" i="16"/>
  <c r="F24" i="16"/>
  <c r="F25" i="16"/>
  <c r="S24" i="16"/>
  <c r="S25" i="16"/>
  <c r="E25" i="16"/>
  <c r="E24" i="16"/>
  <c r="P24" i="16"/>
  <c r="P25" i="16"/>
  <c r="D24" i="16"/>
  <c r="D25" i="16"/>
  <c r="O25" i="16"/>
  <c r="O24" i="16"/>
  <c r="H25" i="16"/>
  <c r="H24" i="16"/>
  <c r="M32" i="16" l="1"/>
  <c r="M33" i="16" s="1"/>
  <c r="P20" i="16"/>
  <c r="P22" i="16" s="1"/>
  <c r="N20" i="16"/>
  <c r="N22" i="16" s="1"/>
  <c r="E20" i="16"/>
  <c r="E32" i="16"/>
  <c r="E33" i="16" s="1"/>
  <c r="E24" i="14" s="1"/>
  <c r="L32" i="16"/>
  <c r="L33" i="16" s="1"/>
  <c r="E16" i="14" s="1"/>
  <c r="F20" i="16"/>
  <c r="F22" i="16" s="1"/>
  <c r="H20" i="16"/>
  <c r="H22" i="16" s="1"/>
  <c r="F32" i="16"/>
  <c r="F33" i="16" s="1"/>
  <c r="E25" i="14" s="1"/>
  <c r="E13" i="14" s="1"/>
  <c r="L13" i="14" s="1"/>
  <c r="H32" i="16"/>
  <c r="H33" i="16" s="1"/>
  <c r="E29" i="14" s="1"/>
  <c r="P32" i="16"/>
  <c r="P33" i="16" s="1"/>
  <c r="L20" i="16"/>
  <c r="L22" i="16" s="1"/>
  <c r="Q32" i="16"/>
  <c r="Q33" i="16" s="1"/>
  <c r="N32" i="16"/>
  <c r="N33" i="16" s="1"/>
  <c r="D20" i="16"/>
  <c r="D22" i="16" s="1"/>
  <c r="S20" i="16"/>
  <c r="S22" i="16" s="1"/>
  <c r="O32" i="16"/>
  <c r="O33" i="16" s="1"/>
  <c r="L35" i="14" s="1"/>
  <c r="S32" i="16"/>
  <c r="S33" i="16" s="1"/>
  <c r="Q20" i="16"/>
  <c r="Q22" i="16" s="1"/>
  <c r="O20" i="16"/>
  <c r="O22" i="16" s="1"/>
  <c r="D32" i="16"/>
  <c r="D33" i="16" s="1"/>
  <c r="E19" i="14" l="1"/>
  <c r="L20" i="14"/>
  <c r="C40" i="14" l="1"/>
  <c r="C41" i="14" s="1"/>
  <c r="C42" i="14" s="1"/>
  <c r="C43" i="14" s="1"/>
  <c r="C44" i="14" s="1"/>
  <c r="C45" i="14" s="1"/>
  <c r="C46" i="14" s="1"/>
  <c r="C94" i="14" s="1"/>
  <c r="C33" i="14"/>
  <c r="I30" i="14"/>
  <c r="H30" i="14"/>
  <c r="G30" i="14"/>
  <c r="F30" i="14"/>
  <c r="C29" i="14"/>
  <c r="I26" i="14"/>
  <c r="H26" i="14"/>
  <c r="G26" i="14"/>
  <c r="F26" i="14"/>
  <c r="L25" i="14"/>
  <c r="C24" i="14"/>
  <c r="C25" i="14" s="1"/>
  <c r="I21" i="14"/>
  <c r="H21" i="14"/>
  <c r="G21" i="14"/>
  <c r="L19" i="14"/>
  <c r="L18" i="14"/>
  <c r="L17" i="14"/>
  <c r="C17" i="14"/>
  <c r="L11" i="14"/>
  <c r="L9" i="14"/>
  <c r="L7" i="14"/>
  <c r="L8" i="14" l="1"/>
  <c r="L14" i="14" s="1"/>
  <c r="K21" i="14"/>
  <c r="K30" i="14"/>
  <c r="L16" i="14"/>
  <c r="L21" i="14" s="1"/>
  <c r="K26" i="14"/>
  <c r="L29" i="14" l="1"/>
  <c r="L32" i="14" l="1"/>
  <c r="L28" i="14"/>
  <c r="L30" i="14" s="1"/>
  <c r="L23" i="14" l="1"/>
  <c r="L33" i="14"/>
  <c r="L37" i="14" s="1"/>
  <c r="L24" i="14"/>
  <c r="L26" i="14" l="1"/>
  <c r="L96" i="14" l="1"/>
  <c r="L1" i="14"/>
  <c r="L102" i="14" l="1"/>
  <c r="L100" i="14"/>
  <c r="L101" i="14" s="1"/>
  <c r="L104" i="14" l="1"/>
  <c r="M10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" authorId="0" shapeId="0" xr:uid="{F1A55003-86D9-413B-83DB-BAB1D2E956C3}">
      <text>
        <r>
          <rPr>
            <b/>
            <sz val="9"/>
            <color indexed="81"/>
            <rFont val="Tahoma"/>
            <charset val="1"/>
          </rPr>
          <t xml:space="preserve">Rs. 250 increment for July '21 MW revision added
</t>
        </r>
      </text>
    </comment>
  </commentList>
</comments>
</file>

<file path=xl/sharedStrings.xml><?xml version="1.0" encoding="utf-8"?>
<sst xmlns="http://schemas.openxmlformats.org/spreadsheetml/2006/main" count="307" uniqueCount="198">
  <si>
    <t>G</t>
  </si>
  <si>
    <t>Cost/Head</t>
  </si>
  <si>
    <t>I</t>
  </si>
  <si>
    <t>II</t>
  </si>
  <si>
    <t>III</t>
  </si>
  <si>
    <t>Cost/Month</t>
  </si>
  <si>
    <t>Cost</t>
  </si>
  <si>
    <t>Management Team</t>
  </si>
  <si>
    <t xml:space="preserve">Horticulture </t>
  </si>
  <si>
    <t xml:space="preserve">Security Supervisor </t>
  </si>
  <si>
    <t>Technical Tools &amp; Tackles</t>
  </si>
  <si>
    <t>Security Guards</t>
  </si>
  <si>
    <t>HK Supervisor</t>
  </si>
  <si>
    <t>Unit Rate (Rs.)</t>
  </si>
  <si>
    <t xml:space="preserve">Site Name - </t>
  </si>
  <si>
    <t xml:space="preserve">Proposal Date - </t>
  </si>
  <si>
    <t>City</t>
  </si>
  <si>
    <t>Sub - Total</t>
  </si>
  <si>
    <t>Shifts</t>
  </si>
  <si>
    <t>Remarks &amp; Shift Timings</t>
  </si>
  <si>
    <t>Sr.No.</t>
  </si>
  <si>
    <t>Security Team</t>
  </si>
  <si>
    <t>Shift Engineer</t>
  </si>
  <si>
    <t xml:space="preserve">Technical Team </t>
  </si>
  <si>
    <t>Soft Services</t>
  </si>
  <si>
    <t>Total No.</t>
  </si>
  <si>
    <t>TOTAL CHARGES</t>
  </si>
  <si>
    <t>Management Fee</t>
  </si>
  <si>
    <t>Grand Total - Monthly</t>
  </si>
  <si>
    <t>9 hours x 6 Days a Week</t>
  </si>
  <si>
    <t>Basic</t>
  </si>
  <si>
    <t>HRA</t>
  </si>
  <si>
    <t>PARTICULARS</t>
  </si>
  <si>
    <t>(A)</t>
  </si>
  <si>
    <t>Conveyance</t>
  </si>
  <si>
    <t>Total Gross Salary</t>
  </si>
  <si>
    <t>(B)</t>
  </si>
  <si>
    <t>LWF</t>
  </si>
  <si>
    <t>Professional Tax</t>
  </si>
  <si>
    <t>Employees deduction</t>
  </si>
  <si>
    <t>Net Salary (A-B)</t>
  </si>
  <si>
    <t>Net Charges to Company</t>
  </si>
  <si>
    <t>Total Cost</t>
  </si>
  <si>
    <t>Gurgaon</t>
  </si>
  <si>
    <t>Estate Manager</t>
  </si>
  <si>
    <t>Accountant</t>
  </si>
  <si>
    <t>As Per Min Wage Schedule - Gurgaon (01.07.2020)</t>
  </si>
  <si>
    <t>HK Staff</t>
  </si>
  <si>
    <t>Pantry Boy</t>
  </si>
  <si>
    <t>Horticulture Supervisor</t>
  </si>
  <si>
    <t>Gardener</t>
  </si>
  <si>
    <t>Fire Technician</t>
  </si>
  <si>
    <t>Lift Technician</t>
  </si>
  <si>
    <t>Technical Assistant</t>
  </si>
  <si>
    <t>Unskilled</t>
  </si>
  <si>
    <t>Semi Skilled B</t>
  </si>
  <si>
    <t>Skilled B</t>
  </si>
  <si>
    <t>D.A.</t>
  </si>
  <si>
    <t>Basic + D.A.</t>
  </si>
  <si>
    <t>Special Allowance</t>
  </si>
  <si>
    <t>NA</t>
  </si>
  <si>
    <t>(C)</t>
  </si>
  <si>
    <t>Gratuity</t>
  </si>
  <si>
    <t>Admin, Documentation, Background Verification</t>
  </si>
  <si>
    <t>Uniform</t>
  </si>
  <si>
    <t>Carpenter</t>
  </si>
  <si>
    <t>LS</t>
  </si>
  <si>
    <t>Consumables, Machinery, AMCs &amp; Miscellaneous</t>
  </si>
  <si>
    <t>Terms</t>
  </si>
  <si>
    <t>Taxes as applicable</t>
  </si>
  <si>
    <t>Revision in rates will be deemed approved as per the Minimum Wage Notification from the date thereof</t>
  </si>
  <si>
    <t>SILA will provide statutory documentation each month</t>
  </si>
  <si>
    <t>Invoices will sent by the 3rd, verification by client by the 5th and payments to be released by the end of each month</t>
  </si>
  <si>
    <t>Work on Statutory Holidays will be billed 3x as per norms - 26th January, 15th August, 2nd October</t>
  </si>
  <si>
    <t>Overtime (If required) will be billed as per the OT rates mentioned in the wage Breakup</t>
  </si>
  <si>
    <t>Facility Office Expenses</t>
  </si>
  <si>
    <t>Security &amp; Shift Communication</t>
  </si>
  <si>
    <t>Leave Cost</t>
  </si>
  <si>
    <t xml:space="preserve">Ex-Gratia on Basic + DA </t>
  </si>
  <si>
    <t>ESIC on Total Gross/Mediclaim</t>
  </si>
  <si>
    <t>PF Contribution on Gross excluding HRA</t>
  </si>
  <si>
    <t>ESIC on Total Gross</t>
  </si>
  <si>
    <t>Painter cum Mason</t>
  </si>
  <si>
    <t>DG Operator</t>
  </si>
  <si>
    <t>On Actual</t>
  </si>
  <si>
    <t>CRM</t>
  </si>
  <si>
    <t>Fire Technicians</t>
  </si>
  <si>
    <t>Lady Guards</t>
  </si>
  <si>
    <t>12 hours x 7 Days a Week</t>
  </si>
  <si>
    <t>Security Supervisor</t>
  </si>
  <si>
    <t>Security Guard</t>
  </si>
  <si>
    <t>Lady Guard</t>
  </si>
  <si>
    <t>Reliever Allowance</t>
  </si>
  <si>
    <t>Pest Control (1 Visit per Week)</t>
  </si>
  <si>
    <t xml:space="preserve">AMC costs for lifts, DG sets, Fire Alarm Systems &amp; other technical assets on actuals (To be discussed). </t>
  </si>
  <si>
    <t>R</t>
  </si>
  <si>
    <t>National Holidays</t>
  </si>
  <si>
    <t>Vendor Fees</t>
  </si>
  <si>
    <t>DLF REGAL GARDEN</t>
  </si>
  <si>
    <t>Area</t>
  </si>
  <si>
    <t>HK Staff Deployment</t>
  </si>
  <si>
    <t>Qty</t>
  </si>
  <si>
    <t>Total</t>
  </si>
  <si>
    <t>Tower A &amp; B</t>
  </si>
  <si>
    <t>8 AM - 5 PM</t>
  </si>
  <si>
    <t>Tower C, D &amp; E</t>
  </si>
  <si>
    <t>1 PM - 10 PM</t>
  </si>
  <si>
    <t>Tower F, G &amp; H + Outer Area</t>
  </si>
  <si>
    <t>Outer Area, EWS &amp; Basements</t>
  </si>
  <si>
    <t xml:space="preserve">Tower J &amp; Outer Area </t>
  </si>
  <si>
    <t>8 hours x 6 Days a Week</t>
  </si>
  <si>
    <t>Multi Skilled Technician</t>
  </si>
  <si>
    <t>MEP consumables</t>
  </si>
  <si>
    <t>Housekeeping &amp; Horticulture Consumables</t>
  </si>
  <si>
    <t>AFM</t>
  </si>
  <si>
    <t>7th Day Managed by Team Leader</t>
  </si>
  <si>
    <t>Fire Officer</t>
  </si>
  <si>
    <t>Fire &amp; Security Officer</t>
  </si>
  <si>
    <t>Rider Boy</t>
  </si>
  <si>
    <t>Insurance Cost</t>
  </si>
  <si>
    <t>Elevators</t>
  </si>
  <si>
    <t>Boom Barrier</t>
  </si>
  <si>
    <t>HT Line</t>
  </si>
  <si>
    <t>AC</t>
  </si>
  <si>
    <t>HK Machines</t>
  </si>
  <si>
    <t>Gym</t>
  </si>
  <si>
    <t>ACB Electrical</t>
  </si>
  <si>
    <t>Aqua</t>
  </si>
  <si>
    <t>DG Set</t>
  </si>
  <si>
    <t>PNG Gas (1 manpower)</t>
  </si>
  <si>
    <t>STP (4 manpower)</t>
  </si>
  <si>
    <t>Pest Control</t>
  </si>
  <si>
    <t>Fogging machine &amp; Termite</t>
  </si>
  <si>
    <t>DG - All Checks</t>
  </si>
  <si>
    <t>Fire Detection System</t>
  </si>
  <si>
    <t>Tank Cleaning</t>
  </si>
  <si>
    <t>Rain water harvesting</t>
  </si>
  <si>
    <t>Electrical Meters</t>
  </si>
  <si>
    <t>Civil</t>
  </si>
  <si>
    <t>a)</t>
  </si>
  <si>
    <t>b)</t>
  </si>
  <si>
    <t>Electrical</t>
  </si>
  <si>
    <t>c)</t>
  </si>
  <si>
    <t>Plumbing</t>
  </si>
  <si>
    <t>d)</t>
  </si>
  <si>
    <t>Fire Fighting</t>
  </si>
  <si>
    <t>e)</t>
  </si>
  <si>
    <t>Horticulture</t>
  </si>
  <si>
    <t>f)</t>
  </si>
  <si>
    <t>HK Material</t>
  </si>
  <si>
    <t>g)</t>
  </si>
  <si>
    <t>STP &amp; WTP Chemicals</t>
  </si>
  <si>
    <t>h)</t>
  </si>
  <si>
    <t>Water Testing</t>
  </si>
  <si>
    <t>i)</t>
  </si>
  <si>
    <t>Carpentry</t>
  </si>
  <si>
    <t>j)</t>
  </si>
  <si>
    <t>Painting Material</t>
  </si>
  <si>
    <t>k)</t>
  </si>
  <si>
    <t>Miscellaneous</t>
  </si>
  <si>
    <t>Consumables and Repair &amp; Maintenance:</t>
  </si>
  <si>
    <t>l)</t>
  </si>
  <si>
    <t>Covid Expenses</t>
  </si>
  <si>
    <t>m)</t>
  </si>
  <si>
    <t>Festival Expenses</t>
  </si>
  <si>
    <t>n)</t>
  </si>
  <si>
    <t>Water expenses</t>
  </si>
  <si>
    <t>o)</t>
  </si>
  <si>
    <t>Approvals</t>
  </si>
  <si>
    <t>p)</t>
  </si>
  <si>
    <t>q)</t>
  </si>
  <si>
    <t>License Fees, CTO, Fire (W/o Swimming Pool)</t>
  </si>
  <si>
    <t>r)</t>
  </si>
  <si>
    <t>Printer</t>
  </si>
  <si>
    <t>s)</t>
  </si>
  <si>
    <t>Audit &amp; Professional Fees</t>
  </si>
  <si>
    <t>t)</t>
  </si>
  <si>
    <t>Part time CA</t>
  </si>
  <si>
    <t>u)</t>
  </si>
  <si>
    <t>QRT</t>
  </si>
  <si>
    <t>v)</t>
  </si>
  <si>
    <t>Stationary</t>
  </si>
  <si>
    <t>w)</t>
  </si>
  <si>
    <t>Pantry expenses</t>
  </si>
  <si>
    <t>x)</t>
  </si>
  <si>
    <t>y)</t>
  </si>
  <si>
    <t>z)</t>
  </si>
  <si>
    <t>Swimming Pool - Coach, License</t>
  </si>
  <si>
    <t>Seasonal Plants</t>
  </si>
  <si>
    <t xml:space="preserve">Less Parking Income </t>
  </si>
  <si>
    <t>Less Realization from EWS</t>
  </si>
  <si>
    <t>AMC:</t>
  </si>
  <si>
    <t xml:space="preserve">Conveyance </t>
  </si>
  <si>
    <t>Billing Software &amp; tally software</t>
  </si>
  <si>
    <t>CAM with GST PM</t>
  </si>
  <si>
    <t>GST Cost</t>
  </si>
  <si>
    <t>Saleable area 1040272</t>
  </si>
  <si>
    <t>Re. 0.08 / sq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</si>
</sst>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 * #,##0_ ;_ * \-#,##0_ ;_ * &quot;-&quot;??_ ;_ @_ "/>
    <numFmt numFmtId="168" formatCode="_(* #,##0.00000_);_(* \(#,##0.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charset val="1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>
      <protection locked="0"/>
    </xf>
    <xf numFmtId="0" fontId="11" fillId="0" borderId="0">
      <alignment vertical="center"/>
    </xf>
    <xf numFmtId="164" fontId="2" fillId="0" borderId="0">
      <alignment vertical="top"/>
      <protection locked="0"/>
    </xf>
    <xf numFmtId="9" fontId="2" fillId="0" borderId="0">
      <alignment vertical="top"/>
      <protection locked="0"/>
    </xf>
    <xf numFmtId="0" fontId="14" fillId="0" borderId="0"/>
  </cellStyleXfs>
  <cellXfs count="187">
    <xf numFmtId="0" fontId="0" fillId="0" borderId="0" xfId="0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5" fillId="0" borderId="0" xfId="0" applyFont="1"/>
    <xf numFmtId="0" fontId="6" fillId="0" borderId="12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165" fontId="6" fillId="0" borderId="13" xfId="2" applyFont="1" applyFill="1" applyBorder="1" applyAlignment="1">
      <alignment vertical="center"/>
    </xf>
    <xf numFmtId="166" fontId="6" fillId="0" borderId="14" xfId="1" applyNumberFormat="1" applyFont="1" applyFill="1" applyBorder="1" applyAlignment="1">
      <alignment vertical="center"/>
    </xf>
    <xf numFmtId="0" fontId="6" fillId="0" borderId="15" xfId="0" applyFont="1" applyFill="1" applyBorder="1" applyAlignment="1">
      <alignment horizontal="left" vertical="center"/>
    </xf>
    <xf numFmtId="165" fontId="6" fillId="0" borderId="0" xfId="2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horizontal="center" vertical="center"/>
    </xf>
    <xf numFmtId="166" fontId="6" fillId="0" borderId="16" xfId="1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5" fontId="6" fillId="0" borderId="1" xfId="2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horizontal="center" vertical="center"/>
    </xf>
    <xf numFmtId="166" fontId="6" fillId="0" borderId="11" xfId="1" applyNumberFormat="1" applyFont="1" applyFill="1" applyBorder="1" applyAlignment="1">
      <alignment horizontal="center" vertical="center"/>
    </xf>
    <xf numFmtId="0" fontId="6" fillId="3" borderId="10" xfId="4" applyFont="1" applyFill="1" applyBorder="1" applyAlignment="1">
      <alignment horizontal="center" vertical="center"/>
    </xf>
    <xf numFmtId="0" fontId="6" fillId="3" borderId="10" xfId="4" applyFont="1" applyFill="1" applyBorder="1" applyAlignment="1">
      <alignment horizontal="left" vertical="center"/>
    </xf>
    <xf numFmtId="165" fontId="6" fillId="3" borderId="10" xfId="2" applyFont="1" applyFill="1" applyBorder="1" applyAlignment="1">
      <alignment horizontal="center" vertical="center"/>
    </xf>
    <xf numFmtId="166" fontId="7" fillId="3" borderId="10" xfId="3" applyNumberFormat="1" applyFont="1" applyFill="1" applyBorder="1" applyAlignment="1">
      <alignment vertical="center"/>
    </xf>
    <xf numFmtId="0" fontId="6" fillId="4" borderId="4" xfId="4" applyFont="1" applyFill="1" applyBorder="1" applyAlignment="1">
      <alignment horizontal="left" vertical="center"/>
    </xf>
    <xf numFmtId="165" fontId="6" fillId="4" borderId="4" xfId="2" applyFont="1" applyFill="1" applyBorder="1" applyAlignment="1">
      <alignment horizontal="center" vertical="center"/>
    </xf>
    <xf numFmtId="166" fontId="6" fillId="4" borderId="4" xfId="1" applyNumberFormat="1" applyFont="1" applyFill="1" applyBorder="1" applyAlignment="1">
      <alignment horizontal="center" vertical="center"/>
    </xf>
    <xf numFmtId="0" fontId="6" fillId="4" borderId="4" xfId="1" applyNumberFormat="1" applyFont="1" applyFill="1" applyBorder="1" applyAlignment="1">
      <alignment horizontal="center" vertical="center"/>
    </xf>
    <xf numFmtId="166" fontId="6" fillId="3" borderId="4" xfId="1" applyNumberFormat="1" applyFont="1" applyFill="1" applyBorder="1" applyAlignment="1">
      <alignment horizontal="center" vertical="center"/>
    </xf>
    <xf numFmtId="0" fontId="4" fillId="2" borderId="4" xfId="4" applyFont="1" applyFill="1" applyBorder="1" applyAlignment="1">
      <alignment horizontal="center" vertical="center"/>
    </xf>
    <xf numFmtId="0" fontId="4" fillId="2" borderId="4" xfId="4" applyFont="1" applyFill="1" applyBorder="1" applyAlignment="1">
      <alignment horizontal="left" vertical="center"/>
    </xf>
    <xf numFmtId="165" fontId="4" fillId="2" borderId="4" xfId="2" applyFont="1" applyFill="1" applyBorder="1" applyAlignment="1">
      <alignment horizontal="center" vertical="center"/>
    </xf>
    <xf numFmtId="0" fontId="4" fillId="2" borderId="0" xfId="0" applyFont="1" applyFill="1"/>
    <xf numFmtId="0" fontId="5" fillId="2" borderId="0" xfId="0" applyFont="1" applyFill="1"/>
    <xf numFmtId="165" fontId="6" fillId="3" borderId="4" xfId="2" applyFont="1" applyFill="1" applyBorder="1" applyAlignment="1">
      <alignment horizontal="center" vertical="center"/>
    </xf>
    <xf numFmtId="0" fontId="6" fillId="4" borderId="4" xfId="4" applyFont="1" applyFill="1" applyBorder="1" applyAlignment="1">
      <alignment horizontal="left" vertical="center" wrapText="1"/>
    </xf>
    <xf numFmtId="0" fontId="4" fillId="2" borderId="4" xfId="4" applyFont="1" applyFill="1" applyBorder="1" applyAlignment="1">
      <alignment horizontal="left" vertical="center" wrapText="1"/>
    </xf>
    <xf numFmtId="165" fontId="6" fillId="3" borderId="4" xfId="2" applyFont="1" applyFill="1" applyBorder="1" applyAlignment="1">
      <alignment horizontal="center"/>
    </xf>
    <xf numFmtId="166" fontId="6" fillId="4" borderId="4" xfId="5" applyNumberFormat="1" applyFont="1" applyFill="1" applyBorder="1" applyAlignment="1">
      <alignment horizontal="center" vertical="top"/>
    </xf>
    <xf numFmtId="166" fontId="6" fillId="4" borderId="4" xfId="5" applyNumberFormat="1" applyFont="1" applyFill="1" applyBorder="1" applyAlignment="1">
      <alignment horizontal="left" vertical="top" wrapText="1"/>
    </xf>
    <xf numFmtId="165" fontId="6" fillId="4" borderId="4" xfId="2" applyFont="1" applyFill="1" applyBorder="1" applyAlignment="1">
      <alignment horizontal="center" vertical="top"/>
    </xf>
    <xf numFmtId="166" fontId="6" fillId="4" borderId="4" xfId="5" applyNumberFormat="1" applyFont="1" applyFill="1" applyBorder="1" applyAlignment="1">
      <alignment horizontal="left" vertical="top"/>
    </xf>
    <xf numFmtId="166" fontId="4" fillId="2" borderId="4" xfId="6" applyNumberFormat="1" applyFont="1" applyFill="1" applyBorder="1" applyAlignment="1">
      <alignment horizontal="left" vertical="center"/>
    </xf>
    <xf numFmtId="0" fontId="4" fillId="0" borderId="4" xfId="4" applyFont="1" applyBorder="1" applyAlignment="1">
      <alignment horizontal="center" vertical="center"/>
    </xf>
    <xf numFmtId="0" fontId="4" fillId="0" borderId="4" xfId="4" applyFont="1" applyBorder="1" applyAlignment="1">
      <alignment horizontal="left" vertical="center"/>
    </xf>
    <xf numFmtId="2" fontId="4" fillId="2" borderId="4" xfId="4" applyNumberFormat="1" applyFont="1" applyFill="1" applyBorder="1" applyAlignment="1">
      <alignment horizontal="left" vertical="center"/>
    </xf>
    <xf numFmtId="165" fontId="4" fillId="0" borderId="4" xfId="2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/>
    </xf>
    <xf numFmtId="2" fontId="4" fillId="0" borderId="4" xfId="4" applyNumberFormat="1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165" fontId="4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4" xfId="9" applyFont="1" applyBorder="1" applyAlignment="1">
      <alignment horizontal="left" vertical="center"/>
    </xf>
    <xf numFmtId="165" fontId="6" fillId="4" borderId="4" xfId="2" applyFont="1" applyFill="1" applyBorder="1" applyAlignment="1">
      <alignment horizontal="center"/>
    </xf>
    <xf numFmtId="166" fontId="6" fillId="4" borderId="4" xfId="1" applyNumberFormat="1" applyFont="1" applyFill="1" applyBorder="1" applyAlignment="1">
      <alignment horizontal="center"/>
    </xf>
    <xf numFmtId="166" fontId="6" fillId="0" borderId="4" xfId="1" applyNumberFormat="1" applyFont="1" applyFill="1" applyBorder="1" applyAlignment="1">
      <alignment horizontal="center"/>
    </xf>
    <xf numFmtId="9" fontId="6" fillId="0" borderId="4" xfId="2" applyNumberFormat="1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 vertical="center"/>
    </xf>
    <xf numFmtId="0" fontId="6" fillId="4" borderId="4" xfId="4" applyFont="1" applyFill="1" applyBorder="1" applyAlignment="1">
      <alignment horizontal="center" vertical="center"/>
    </xf>
    <xf numFmtId="166" fontId="6" fillId="3" borderId="4" xfId="1" applyNumberFormat="1" applyFont="1" applyFill="1" applyBorder="1" applyAlignment="1">
      <alignment horizontal="center"/>
    </xf>
    <xf numFmtId="166" fontId="4" fillId="2" borderId="4" xfId="1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left" vertical="center"/>
    </xf>
    <xf numFmtId="165" fontId="5" fillId="0" borderId="0" xfId="0" applyNumberFormat="1" applyFont="1"/>
    <xf numFmtId="166" fontId="4" fillId="2" borderId="4" xfId="1" applyNumberFormat="1" applyFont="1" applyFill="1" applyBorder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6" fontId="6" fillId="4" borderId="4" xfId="1" applyNumberFormat="1" applyFont="1" applyFill="1" applyBorder="1" applyAlignment="1">
      <alignment vertical="center"/>
    </xf>
    <xf numFmtId="166" fontId="6" fillId="0" borderId="13" xfId="1" applyNumberFormat="1" applyFont="1" applyFill="1" applyBorder="1" applyAlignment="1">
      <alignment horizontal="center" vertical="center"/>
    </xf>
    <xf numFmtId="1" fontId="6" fillId="3" borderId="4" xfId="1" applyNumberFormat="1" applyFont="1" applyFill="1" applyBorder="1" applyAlignment="1">
      <alignment horizontal="center"/>
    </xf>
    <xf numFmtId="1" fontId="6" fillId="4" borderId="4" xfId="1" applyNumberFormat="1" applyFont="1" applyFill="1" applyBorder="1" applyAlignment="1">
      <alignment horizontal="center" vertical="center"/>
    </xf>
    <xf numFmtId="1" fontId="4" fillId="2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12" fillId="0" borderId="18" xfId="2" applyFont="1" applyBorder="1" applyAlignment="1" applyProtection="1">
      <alignment horizontal="center" vertical="center" wrapText="1"/>
    </xf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wrapText="1"/>
    </xf>
    <xf numFmtId="165" fontId="12" fillId="0" borderId="19" xfId="2" applyFont="1" applyBorder="1" applyAlignment="1" applyProtection="1">
      <alignment horizontal="center" vertical="center" wrapText="1"/>
    </xf>
    <xf numFmtId="165" fontId="12" fillId="0" borderId="20" xfId="2" applyFont="1" applyBorder="1" applyAlignment="1" applyProtection="1">
      <alignment horizontal="center" vertical="center" wrapText="1"/>
    </xf>
    <xf numFmtId="165" fontId="0" fillId="0" borderId="21" xfId="2" applyFont="1" applyBorder="1" applyAlignment="1" applyProtection="1">
      <alignment horizontal="center"/>
    </xf>
    <xf numFmtId="165" fontId="11" fillId="0" borderId="22" xfId="2" applyFont="1" applyBorder="1" applyAlignment="1" applyProtection="1">
      <alignment horizontal="center" vertical="center"/>
    </xf>
    <xf numFmtId="165" fontId="0" fillId="0" borderId="18" xfId="2" applyFont="1" applyBorder="1" applyAlignment="1" applyProtection="1">
      <alignment horizontal="center"/>
    </xf>
    <xf numFmtId="165" fontId="11" fillId="0" borderId="23" xfId="2" applyFont="1" applyBorder="1" applyAlignment="1" applyProtection="1">
      <alignment horizontal="center" vertical="center"/>
    </xf>
    <xf numFmtId="165" fontId="12" fillId="0" borderId="24" xfId="2" applyFont="1" applyBorder="1" applyAlignment="1" applyProtection="1">
      <alignment horizontal="center"/>
    </xf>
    <xf numFmtId="165" fontId="12" fillId="0" borderId="25" xfId="2" applyFont="1" applyBorder="1" applyAlignment="1" applyProtection="1">
      <alignment horizontal="center" vertical="center"/>
    </xf>
    <xf numFmtId="165" fontId="11" fillId="0" borderId="26" xfId="2" applyFont="1" applyBorder="1" applyAlignment="1" applyProtection="1">
      <alignment horizontal="center" vertical="center" wrapText="1"/>
    </xf>
    <xf numFmtId="167" fontId="11" fillId="0" borderId="27" xfId="2" applyNumberFormat="1" applyFont="1" applyBorder="1" applyAlignment="1" applyProtection="1">
      <alignment horizontal="center" vertical="center" wrapText="1"/>
    </xf>
    <xf numFmtId="165" fontId="0" fillId="0" borderId="8" xfId="2" applyFont="1" applyBorder="1" applyAlignment="1" applyProtection="1">
      <alignment horizontal="center"/>
    </xf>
    <xf numFmtId="165" fontId="11" fillId="0" borderId="28" xfId="2" applyFont="1" applyBorder="1" applyAlignment="1" applyProtection="1">
      <alignment horizontal="center"/>
    </xf>
    <xf numFmtId="165" fontId="11" fillId="0" borderId="29" xfId="2" applyFont="1" applyBorder="1" applyAlignment="1" applyProtection="1">
      <alignment horizontal="center" vertical="center"/>
    </xf>
    <xf numFmtId="165" fontId="11" fillId="0" borderId="25" xfId="2" applyFont="1" applyBorder="1" applyAlignment="1" applyProtection="1">
      <alignment horizontal="center" vertical="center"/>
    </xf>
    <xf numFmtId="165" fontId="12" fillId="0" borderId="26" xfId="2" applyFont="1" applyBorder="1" applyAlignment="1" applyProtection="1">
      <alignment horizontal="center"/>
    </xf>
    <xf numFmtId="165" fontId="12" fillId="0" borderId="27" xfId="2" applyFont="1" applyBorder="1" applyAlignment="1" applyProtection="1">
      <alignment horizontal="center" vertical="center"/>
    </xf>
    <xf numFmtId="165" fontId="11" fillId="0" borderId="8" xfId="2" applyFont="1" applyBorder="1" applyAlignment="1" applyProtection="1">
      <alignment horizontal="center"/>
    </xf>
    <xf numFmtId="165" fontId="11" fillId="0" borderId="4" xfId="2" applyFont="1" applyBorder="1" applyAlignment="1" applyProtection="1">
      <alignment horizontal="center" vertical="center"/>
    </xf>
    <xf numFmtId="165" fontId="11" fillId="0" borderId="4" xfId="2" applyFont="1" applyBorder="1" applyAlignment="1" applyProtection="1">
      <alignment horizontal="right" vertical="center"/>
    </xf>
    <xf numFmtId="165" fontId="11" fillId="0" borderId="29" xfId="2" applyFont="1" applyBorder="1" applyAlignment="1" applyProtection="1">
      <alignment horizontal="right" vertical="center"/>
    </xf>
    <xf numFmtId="165" fontId="12" fillId="0" borderId="21" xfId="2" applyFont="1" applyBorder="1" applyAlignment="1" applyProtection="1">
      <alignment horizontal="center"/>
    </xf>
    <xf numFmtId="165" fontId="12" fillId="0" borderId="22" xfId="2" applyFont="1" applyBorder="1" applyAlignment="1" applyProtection="1">
      <alignment horizontal="center" vertical="center"/>
    </xf>
    <xf numFmtId="165" fontId="13" fillId="4" borderId="24" xfId="2" applyFont="1" applyFill="1" applyBorder="1" applyAlignment="1" applyProtection="1">
      <alignment horizontal="center"/>
    </xf>
    <xf numFmtId="165" fontId="13" fillId="4" borderId="25" xfId="2" applyFont="1" applyFill="1" applyBorder="1" applyAlignment="1" applyProtection="1">
      <alignment horizontal="center" vertical="center"/>
    </xf>
    <xf numFmtId="165" fontId="12" fillId="0" borderId="16" xfId="2" applyFont="1" applyBorder="1" applyAlignment="1" applyProtection="1">
      <alignment horizontal="center" vertical="center" wrapText="1"/>
    </xf>
    <xf numFmtId="165" fontId="12" fillId="0" borderId="30" xfId="2" applyFont="1" applyBorder="1" applyAlignment="1" applyProtection="1">
      <alignment horizontal="center" vertical="center" wrapText="1"/>
    </xf>
    <xf numFmtId="165" fontId="0" fillId="0" borderId="16" xfId="2" applyFont="1" applyBorder="1" applyAlignment="1" applyProtection="1">
      <alignment horizontal="center"/>
    </xf>
    <xf numFmtId="165" fontId="0" fillId="0" borderId="31" xfId="2" applyFont="1" applyBorder="1" applyAlignment="1" applyProtection="1">
      <alignment horizontal="center"/>
    </xf>
    <xf numFmtId="165" fontId="12" fillId="0" borderId="32" xfId="2" applyFont="1" applyBorder="1" applyAlignment="1" applyProtection="1">
      <alignment horizontal="center"/>
    </xf>
    <xf numFmtId="165" fontId="11" fillId="0" borderId="7" xfId="2" applyFont="1" applyBorder="1" applyAlignment="1" applyProtection="1">
      <alignment horizontal="center" vertical="center" wrapText="1"/>
    </xf>
    <xf numFmtId="165" fontId="11" fillId="0" borderId="33" xfId="2" applyFont="1" applyBorder="1" applyAlignment="1" applyProtection="1">
      <alignment horizontal="center"/>
    </xf>
    <xf numFmtId="165" fontId="12" fillId="0" borderId="7" xfId="2" applyFont="1" applyBorder="1" applyAlignment="1" applyProtection="1">
      <alignment horizontal="center"/>
    </xf>
    <xf numFmtId="165" fontId="11" fillId="0" borderId="3" xfId="2" applyFont="1" applyBorder="1" applyAlignment="1" applyProtection="1">
      <alignment horizontal="center"/>
    </xf>
    <xf numFmtId="165" fontId="12" fillId="0" borderId="16" xfId="2" applyFont="1" applyBorder="1" applyAlignment="1" applyProtection="1">
      <alignment horizontal="center"/>
    </xf>
    <xf numFmtId="165" fontId="0" fillId="0" borderId="3" xfId="2" applyFont="1" applyBorder="1" applyAlignment="1" applyProtection="1">
      <alignment horizontal="center"/>
    </xf>
    <xf numFmtId="165" fontId="13" fillId="4" borderId="32" xfId="2" applyFont="1" applyFill="1" applyBorder="1" applyAlignment="1" applyProtection="1">
      <alignment horizontal="center"/>
    </xf>
    <xf numFmtId="9" fontId="11" fillId="0" borderId="3" xfId="3" applyFont="1" applyBorder="1" applyAlignment="1" applyProtection="1">
      <alignment horizontal="center"/>
    </xf>
    <xf numFmtId="10" fontId="11" fillId="0" borderId="3" xfId="3" applyNumberFormat="1" applyFont="1" applyBorder="1" applyAlignment="1" applyProtection="1">
      <alignment horizontal="center"/>
    </xf>
    <xf numFmtId="166" fontId="6" fillId="0" borderId="4" xfId="1" applyNumberFormat="1" applyFont="1" applyFill="1" applyBorder="1" applyAlignment="1">
      <alignment horizontal="center" vertical="center"/>
    </xf>
    <xf numFmtId="3" fontId="15" fillId="0" borderId="0" xfId="15" applyNumberFormat="1" applyFont="1" applyFill="1" applyBorder="1" applyAlignment="1">
      <alignment vertical="center"/>
    </xf>
    <xf numFmtId="0" fontId="16" fillId="0" borderId="0" xfId="0" applyFont="1" applyAlignment="1"/>
    <xf numFmtId="166" fontId="6" fillId="3" borderId="10" xfId="3" applyNumberFormat="1" applyFont="1" applyFill="1" applyBorder="1" applyAlignment="1">
      <alignment vertical="center"/>
    </xf>
    <xf numFmtId="0" fontId="10" fillId="0" borderId="35" xfId="0" applyFont="1" applyBorder="1" applyAlignment="1">
      <alignment wrapText="1"/>
    </xf>
    <xf numFmtId="165" fontId="11" fillId="0" borderId="37" xfId="2" applyFont="1" applyBorder="1" applyAlignment="1" applyProtection="1">
      <alignment horizontal="center" vertical="center"/>
    </xf>
    <xf numFmtId="165" fontId="12" fillId="0" borderId="38" xfId="2" applyFont="1" applyBorder="1" applyAlignment="1" applyProtection="1">
      <alignment horizontal="center" vertical="center"/>
    </xf>
    <xf numFmtId="167" fontId="11" fillId="0" borderId="39" xfId="2" applyNumberFormat="1" applyFont="1" applyBorder="1" applyAlignment="1" applyProtection="1">
      <alignment horizontal="center" vertical="center" wrapText="1"/>
    </xf>
    <xf numFmtId="165" fontId="11" fillId="0" borderId="38" xfId="2" applyFont="1" applyBorder="1" applyAlignment="1" applyProtection="1">
      <alignment horizontal="center" vertical="center"/>
    </xf>
    <xf numFmtId="165" fontId="12" fillId="0" borderId="39" xfId="2" applyFont="1" applyBorder="1" applyAlignment="1" applyProtection="1">
      <alignment horizontal="center" vertical="center"/>
    </xf>
    <xf numFmtId="165" fontId="11" fillId="0" borderId="9" xfId="2" applyFont="1" applyBorder="1" applyAlignment="1" applyProtection="1">
      <alignment horizontal="center" vertical="center"/>
    </xf>
    <xf numFmtId="165" fontId="11" fillId="0" borderId="9" xfId="2" applyFont="1" applyBorder="1" applyAlignment="1" applyProtection="1">
      <alignment horizontal="right" vertical="center"/>
    </xf>
    <xf numFmtId="165" fontId="11" fillId="0" borderId="40" xfId="2" applyFont="1" applyBorder="1" applyAlignment="1" applyProtection="1">
      <alignment horizontal="right" vertical="center"/>
    </xf>
    <xf numFmtId="165" fontId="12" fillId="0" borderId="36" xfId="2" applyFont="1" applyBorder="1" applyAlignment="1" applyProtection="1">
      <alignment horizontal="center" vertical="center"/>
    </xf>
    <xf numFmtId="165" fontId="13" fillId="4" borderId="38" xfId="2" applyFont="1" applyFill="1" applyBorder="1" applyAlignment="1" applyProtection="1">
      <alignment horizontal="center" vertical="center"/>
    </xf>
    <xf numFmtId="165" fontId="0" fillId="0" borderId="4" xfId="2" applyFont="1" applyBorder="1" applyAlignment="1" applyProtection="1">
      <alignment horizontal="center"/>
    </xf>
    <xf numFmtId="10" fontId="11" fillId="0" borderId="4" xfId="3" applyNumberFormat="1" applyFont="1" applyBorder="1" applyAlignment="1" applyProtection="1">
      <alignment horizontal="center"/>
    </xf>
    <xf numFmtId="167" fontId="11" fillId="0" borderId="4" xfId="2" applyNumberFormat="1" applyFont="1" applyBorder="1" applyAlignment="1" applyProtection="1">
      <alignment horizontal="center" vertical="center" wrapText="1"/>
    </xf>
    <xf numFmtId="165" fontId="11" fillId="0" borderId="21" xfId="2" applyFont="1" applyBorder="1" applyAlignment="1" applyProtection="1">
      <alignment horizontal="center"/>
    </xf>
    <xf numFmtId="10" fontId="11" fillId="0" borderId="16" xfId="3" applyNumberFormat="1" applyFont="1" applyBorder="1" applyAlignment="1" applyProtection="1">
      <alignment horizontal="center"/>
    </xf>
    <xf numFmtId="164" fontId="0" fillId="0" borderId="0" xfId="0" applyNumberFormat="1"/>
    <xf numFmtId="166" fontId="5" fillId="0" borderId="0" xfId="0" applyNumberFormat="1" applyFont="1"/>
    <xf numFmtId="167" fontId="11" fillId="0" borderId="9" xfId="2" applyNumberFormat="1" applyFont="1" applyBorder="1" applyAlignment="1" applyProtection="1">
      <alignment horizontal="center" vertical="center" wrapText="1"/>
    </xf>
    <xf numFmtId="10" fontId="11" fillId="0" borderId="41" xfId="3" applyNumberFormat="1" applyFont="1" applyBorder="1" applyAlignment="1" applyProtection="1">
      <alignment horizontal="center"/>
    </xf>
    <xf numFmtId="165" fontId="11" fillId="0" borderId="40" xfId="2" applyFont="1" applyBorder="1" applyAlignment="1" applyProtection="1">
      <alignment horizontal="center" vertic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10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 wrapText="1"/>
    </xf>
    <xf numFmtId="164" fontId="5" fillId="0" borderId="4" xfId="0" applyNumberFormat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right"/>
    </xf>
    <xf numFmtId="166" fontId="6" fillId="3" borderId="4" xfId="1" applyNumberFormat="1" applyFont="1" applyFill="1" applyBorder="1" applyAlignment="1">
      <alignment horizontal="center"/>
    </xf>
    <xf numFmtId="166" fontId="6" fillId="0" borderId="2" xfId="5" applyNumberFormat="1" applyFont="1" applyFill="1" applyBorder="1" applyAlignment="1">
      <alignment horizontal="center" vertical="center"/>
    </xf>
    <xf numFmtId="166" fontId="6" fillId="0" borderId="3" xfId="5" applyNumberFormat="1" applyFont="1" applyFill="1" applyBorder="1" applyAlignment="1">
      <alignment horizontal="center" vertical="center"/>
    </xf>
    <xf numFmtId="165" fontId="11" fillId="6" borderId="23" xfId="2" applyFont="1" applyFill="1" applyBorder="1" applyAlignment="1" applyProtection="1">
      <alignment horizontal="center" vertical="center"/>
    </xf>
    <xf numFmtId="165" fontId="4" fillId="6" borderId="4" xfId="2" applyFont="1" applyFill="1" applyBorder="1" applyAlignment="1">
      <alignment horizontal="center" vertical="center"/>
    </xf>
    <xf numFmtId="0" fontId="6" fillId="0" borderId="4" xfId="9" applyFont="1" applyBorder="1" applyAlignment="1">
      <alignment horizontal="left" vertical="center"/>
    </xf>
    <xf numFmtId="166" fontId="6" fillId="2" borderId="4" xfId="1" applyNumberFormat="1" applyFont="1" applyFill="1" applyBorder="1" applyAlignment="1">
      <alignment horizontal="center"/>
    </xf>
    <xf numFmtId="9" fontId="6" fillId="2" borderId="4" xfId="3" applyFont="1" applyFill="1" applyBorder="1" applyAlignment="1">
      <alignment horizontal="center" vertical="center"/>
    </xf>
    <xf numFmtId="164" fontId="6" fillId="2" borderId="4" xfId="1" applyFont="1" applyFill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0" fontId="6" fillId="0" borderId="0" xfId="1" applyNumberFormat="1" applyFont="1" applyAlignment="1">
      <alignment horizontal="right"/>
    </xf>
    <xf numFmtId="165" fontId="6" fillId="0" borderId="4" xfId="2" applyFont="1" applyFill="1" applyBorder="1" applyAlignment="1">
      <alignment horizontal="center" vertical="center"/>
    </xf>
    <xf numFmtId="166" fontId="6" fillId="2" borderId="4" xfId="1" applyNumberFormat="1" applyFont="1" applyFill="1" applyBorder="1" applyAlignment="1">
      <alignment horizontal="center" vertical="center"/>
    </xf>
    <xf numFmtId="164" fontId="4" fillId="0" borderId="0" xfId="1" applyFont="1" applyAlignment="1">
      <alignment horizontal="center"/>
    </xf>
    <xf numFmtId="168" fontId="6" fillId="0" borderId="0" xfId="1" applyNumberFormat="1" applyFont="1" applyAlignment="1">
      <alignment horizontal="center"/>
    </xf>
    <xf numFmtId="164" fontId="18" fillId="4" borderId="4" xfId="0" applyNumberFormat="1" applyFont="1" applyFill="1" applyBorder="1" applyAlignment="1">
      <alignment horizontal="center" vertical="center"/>
    </xf>
    <xf numFmtId="164" fontId="18" fillId="4" borderId="4" xfId="1" applyFont="1" applyFill="1" applyBorder="1" applyAlignment="1">
      <alignment horizontal="left"/>
    </xf>
    <xf numFmtId="166" fontId="6" fillId="3" borderId="4" xfId="5" applyNumberFormat="1" applyFont="1" applyFill="1" applyBorder="1" applyAlignment="1">
      <alignment horizontal="center" vertical="center"/>
    </xf>
    <xf numFmtId="0" fontId="4" fillId="0" borderId="0" xfId="0" applyFont="1" applyAlignment="1"/>
    <xf numFmtId="166" fontId="6" fillId="3" borderId="10" xfId="1" applyNumberFormat="1" applyFont="1" applyFill="1" applyBorder="1" applyAlignment="1">
      <alignment horizontal="center" vertical="center"/>
    </xf>
    <xf numFmtId="0" fontId="6" fillId="3" borderId="4" xfId="4" applyFont="1" applyFill="1" applyBorder="1" applyAlignment="1">
      <alignment horizontal="center" vertical="center"/>
    </xf>
    <xf numFmtId="166" fontId="4" fillId="0" borderId="13" xfId="1" applyNumberFormat="1" applyFont="1" applyBorder="1" applyAlignment="1">
      <alignment horizontal="right" vertical="center" wrapText="1"/>
    </xf>
    <xf numFmtId="0" fontId="6" fillId="4" borderId="2" xfId="4" applyFont="1" applyFill="1" applyBorder="1" applyAlignment="1">
      <alignment horizontal="center" vertical="center"/>
    </xf>
    <xf numFmtId="0" fontId="6" fillId="4" borderId="3" xfId="4" applyFont="1" applyFill="1" applyBorder="1" applyAlignment="1">
      <alignment horizontal="center" vertical="center"/>
    </xf>
    <xf numFmtId="166" fontId="6" fillId="3" borderId="2" xfId="5" applyNumberFormat="1" applyFont="1" applyFill="1" applyBorder="1" applyAlignment="1">
      <alignment horizontal="center" vertical="center"/>
    </xf>
    <xf numFmtId="166" fontId="6" fillId="3" borderId="3" xfId="5" applyNumberFormat="1" applyFont="1" applyFill="1" applyBorder="1" applyAlignment="1">
      <alignment horizontal="center" vertical="center"/>
    </xf>
    <xf numFmtId="166" fontId="6" fillId="3" borderId="4" xfId="1" applyNumberFormat="1" applyFont="1" applyFill="1" applyBorder="1" applyAlignment="1">
      <alignment horizontal="center"/>
    </xf>
    <xf numFmtId="166" fontId="6" fillId="4" borderId="2" xfId="5" applyNumberFormat="1" applyFont="1" applyFill="1" applyBorder="1" applyAlignment="1">
      <alignment horizontal="center"/>
    </xf>
    <xf numFmtId="166" fontId="6" fillId="4" borderId="3" xfId="5" applyNumberFormat="1" applyFont="1" applyFill="1" applyBorder="1" applyAlignment="1">
      <alignment horizontal="center"/>
    </xf>
    <xf numFmtId="166" fontId="6" fillId="2" borderId="4" xfId="1" applyNumberFormat="1" applyFont="1" applyFill="1" applyBorder="1" applyAlignment="1">
      <alignment horizontal="center"/>
    </xf>
    <xf numFmtId="166" fontId="6" fillId="0" borderId="2" xfId="5" applyNumberFormat="1" applyFont="1" applyFill="1" applyBorder="1" applyAlignment="1">
      <alignment horizontal="center" vertical="center"/>
    </xf>
    <xf numFmtId="166" fontId="6" fillId="0" borderId="3" xfId="5" applyNumberFormat="1" applyFont="1" applyFill="1" applyBorder="1" applyAlignment="1">
      <alignment horizontal="center" vertical="center"/>
    </xf>
    <xf numFmtId="165" fontId="12" fillId="4" borderId="5" xfId="2" applyFont="1" applyFill="1" applyBorder="1" applyAlignment="1" applyProtection="1">
      <alignment horizontal="center" vertical="center" wrapText="1"/>
    </xf>
    <xf numFmtId="165" fontId="12" fillId="4" borderId="6" xfId="2" applyFont="1" applyFill="1" applyBorder="1" applyAlignment="1" applyProtection="1">
      <alignment horizontal="center" vertical="center" wrapText="1"/>
    </xf>
    <xf numFmtId="165" fontId="12" fillId="4" borderId="34" xfId="2" applyFont="1" applyFill="1" applyBorder="1" applyAlignment="1" applyProtection="1">
      <alignment horizontal="center" vertical="center" wrapText="1"/>
    </xf>
  </cellXfs>
  <cellStyles count="16">
    <cellStyle name="Comma" xfId="1" builtinId="3"/>
    <cellStyle name="Comma [0]" xfId="2" builtinId="6"/>
    <cellStyle name="Comma 11 2" xfId="13" xr:uid="{00000000-0005-0000-0000-000002000000}"/>
    <cellStyle name="Comma 2" xfId="5" xr:uid="{00000000-0005-0000-0000-000003000000}"/>
    <cellStyle name="Comma 2 3" xfId="10" xr:uid="{00000000-0005-0000-0000-000004000000}"/>
    <cellStyle name="Comma 5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2 2 2" xfId="11" xr:uid="{00000000-0005-0000-0000-000009000000}"/>
    <cellStyle name="Normal 2 3" xfId="15" xr:uid="{00000000-0005-0000-0000-00000A000000}"/>
    <cellStyle name="Normal 2 4" xfId="9" xr:uid="{00000000-0005-0000-0000-00000B000000}"/>
    <cellStyle name="Normal 3" xfId="12" xr:uid="{00000000-0005-0000-0000-00000C000000}"/>
    <cellStyle name="Normal 5" xfId="4" xr:uid="{00000000-0005-0000-0000-00000D000000}"/>
    <cellStyle name="Percent" xfId="3" builtinId="5"/>
    <cellStyle name="Percent 2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P123"/>
  <sheetViews>
    <sheetView showGridLines="0" tabSelected="1" topLeftCell="B2" zoomScale="127" zoomScaleNormal="133" workbookViewId="0">
      <selection activeCell="E9" sqref="E9"/>
    </sheetView>
  </sheetViews>
  <sheetFormatPr defaultColWidth="9.21875" defaultRowHeight="13.8" outlineLevelCol="1" x14ac:dyDescent="0.3"/>
  <cols>
    <col min="1" max="1" width="9.21875" style="4"/>
    <col min="2" max="2" width="3.21875" style="4" customWidth="1"/>
    <col min="3" max="3" width="14.5546875" style="1" bestFit="1" customWidth="1"/>
    <col min="4" max="4" width="41.21875" style="49" bestFit="1" customWidth="1"/>
    <col min="5" max="5" width="13.77734375" style="50" bestFit="1" customWidth="1"/>
    <col min="6" max="8" width="4.5546875" style="67" customWidth="1" outlineLevel="1"/>
    <col min="9" max="9" width="6.77734375" style="67" customWidth="1" outlineLevel="1"/>
    <col min="10" max="10" width="6.5546875" style="67" bestFit="1" customWidth="1" outlineLevel="1"/>
    <col min="11" max="11" width="8.5546875" style="3" customWidth="1"/>
    <col min="12" max="12" width="14.44140625" style="2" customWidth="1"/>
    <col min="13" max="13" width="31" style="51" bestFit="1" customWidth="1"/>
    <col min="14" max="14" width="10" style="4" bestFit="1" customWidth="1"/>
    <col min="15" max="15" width="31.6640625" style="4" customWidth="1"/>
    <col min="16" max="16384" width="9.21875" style="4"/>
  </cols>
  <sheetData>
    <row r="1" spans="3:13" ht="18" customHeight="1" x14ac:dyDescent="0.3">
      <c r="D1" s="170"/>
      <c r="E1" s="170"/>
      <c r="L1" s="2">
        <f>L14+L21+L26+L30+L37+L95</f>
        <v>3023679.6666666665</v>
      </c>
    </row>
    <row r="2" spans="3:13" ht="18" customHeight="1" x14ac:dyDescent="0.3">
      <c r="C2" s="5" t="s">
        <v>14</v>
      </c>
      <c r="D2" s="6" t="s">
        <v>98</v>
      </c>
      <c r="E2" s="7" t="s">
        <v>196</v>
      </c>
      <c r="F2" s="69"/>
      <c r="G2" s="69"/>
      <c r="H2" s="69"/>
      <c r="I2" s="69"/>
      <c r="J2" s="69"/>
      <c r="K2" s="69"/>
      <c r="L2" s="69"/>
      <c r="M2" s="8"/>
    </row>
    <row r="3" spans="3:13" ht="18" customHeight="1" x14ac:dyDescent="0.3">
      <c r="C3" s="9" t="s">
        <v>15</v>
      </c>
      <c r="D3" s="64">
        <v>44391</v>
      </c>
      <c r="E3" s="10"/>
      <c r="F3" s="11"/>
      <c r="G3" s="11"/>
      <c r="H3" s="11"/>
      <c r="I3" s="11"/>
      <c r="J3" s="11"/>
      <c r="K3" s="11"/>
      <c r="L3" s="11"/>
      <c r="M3" s="12"/>
    </row>
    <row r="4" spans="3:13" ht="18" customHeight="1" x14ac:dyDescent="0.3">
      <c r="C4" s="13" t="s">
        <v>16</v>
      </c>
      <c r="D4" s="14" t="s">
        <v>43</v>
      </c>
      <c r="E4" s="15"/>
      <c r="F4" s="16"/>
      <c r="G4" s="16"/>
      <c r="H4" s="16"/>
      <c r="I4" s="16"/>
      <c r="J4" s="16"/>
      <c r="K4" s="16"/>
      <c r="L4" s="16"/>
      <c r="M4" s="17"/>
    </row>
    <row r="5" spans="3:13" ht="13.95" customHeight="1" x14ac:dyDescent="0.3">
      <c r="C5" s="18" t="s">
        <v>20</v>
      </c>
      <c r="D5" s="19"/>
      <c r="E5" s="20" t="s">
        <v>13</v>
      </c>
      <c r="F5" s="171" t="s">
        <v>18</v>
      </c>
      <c r="G5" s="171"/>
      <c r="H5" s="171"/>
      <c r="I5" s="171"/>
      <c r="J5" s="171"/>
      <c r="K5" s="171"/>
      <c r="L5" s="21"/>
      <c r="M5" s="119" t="s">
        <v>19</v>
      </c>
    </row>
    <row r="6" spans="3:13" ht="15" customHeight="1" x14ac:dyDescent="0.3">
      <c r="C6" s="61"/>
      <c r="D6" s="22" t="s">
        <v>7</v>
      </c>
      <c r="E6" s="23" t="s">
        <v>1</v>
      </c>
      <c r="F6" s="24" t="s">
        <v>0</v>
      </c>
      <c r="G6" s="24" t="s">
        <v>2</v>
      </c>
      <c r="H6" s="24" t="s">
        <v>3</v>
      </c>
      <c r="I6" s="24" t="s">
        <v>4</v>
      </c>
      <c r="J6" s="24" t="s">
        <v>95</v>
      </c>
      <c r="K6" s="71" t="s">
        <v>25</v>
      </c>
      <c r="L6" s="24" t="s">
        <v>5</v>
      </c>
      <c r="M6" s="24"/>
    </row>
    <row r="7" spans="3:13" s="30" customFormat="1" ht="15" customHeight="1" x14ac:dyDescent="0.3">
      <c r="C7" s="27">
        <v>1</v>
      </c>
      <c r="D7" s="28" t="s">
        <v>44</v>
      </c>
      <c r="E7" s="29">
        <v>90000</v>
      </c>
      <c r="F7" s="66">
        <v>1</v>
      </c>
      <c r="G7" s="66"/>
      <c r="H7" s="66"/>
      <c r="I7" s="66"/>
      <c r="J7" s="66"/>
      <c r="K7" s="72">
        <f>SUM(F7:J7)</f>
        <v>1</v>
      </c>
      <c r="L7" s="60">
        <f t="shared" ref="L7:L13" si="0">K7*E7</f>
        <v>90000</v>
      </c>
      <c r="M7" s="52" t="s">
        <v>29</v>
      </c>
    </row>
    <row r="8" spans="3:13" s="31" customFormat="1" ht="15" customHeight="1" x14ac:dyDescent="0.3">
      <c r="C8" s="27">
        <v>2</v>
      </c>
      <c r="D8" s="28" t="s">
        <v>114</v>
      </c>
      <c r="E8" s="29">
        <v>55000</v>
      </c>
      <c r="F8" s="66">
        <v>1</v>
      </c>
      <c r="G8" s="66"/>
      <c r="H8" s="66"/>
      <c r="I8" s="66"/>
      <c r="J8" s="66"/>
      <c r="K8" s="72">
        <f t="shared" ref="K8:K12" si="1">SUM(F8:J8)</f>
        <v>1</v>
      </c>
      <c r="L8" s="60">
        <f t="shared" si="0"/>
        <v>55000</v>
      </c>
      <c r="M8" s="52" t="s">
        <v>29</v>
      </c>
    </row>
    <row r="9" spans="3:13" s="31" customFormat="1" ht="15" customHeight="1" x14ac:dyDescent="0.3">
      <c r="C9" s="27">
        <v>3</v>
      </c>
      <c r="D9" s="28" t="s">
        <v>117</v>
      </c>
      <c r="E9" s="29">
        <v>40000</v>
      </c>
      <c r="F9" s="66">
        <v>1</v>
      </c>
      <c r="G9" s="66"/>
      <c r="H9" s="66"/>
      <c r="I9" s="66"/>
      <c r="J9" s="66"/>
      <c r="K9" s="72">
        <f t="shared" si="1"/>
        <v>1</v>
      </c>
      <c r="L9" s="60">
        <f t="shared" si="0"/>
        <v>40000</v>
      </c>
      <c r="M9" s="52" t="s">
        <v>29</v>
      </c>
    </row>
    <row r="10" spans="3:13" s="31" customFormat="1" ht="15" customHeight="1" x14ac:dyDescent="0.3">
      <c r="C10" s="27">
        <v>4</v>
      </c>
      <c r="D10" s="28" t="s">
        <v>116</v>
      </c>
      <c r="E10" s="29">
        <v>30000</v>
      </c>
      <c r="F10" s="66"/>
      <c r="G10" s="66">
        <v>1</v>
      </c>
      <c r="H10" s="66">
        <v>1</v>
      </c>
      <c r="I10" s="66">
        <v>1</v>
      </c>
      <c r="J10" s="66"/>
      <c r="K10" s="72">
        <f t="shared" ref="K10" si="2">SUM(F10:J10)</f>
        <v>3</v>
      </c>
      <c r="L10" s="66">
        <f t="shared" ref="L10" si="3">K10*E10</f>
        <v>90000</v>
      </c>
      <c r="M10" s="52" t="s">
        <v>29</v>
      </c>
    </row>
    <row r="11" spans="3:13" s="31" customFormat="1" ht="15" customHeight="1" x14ac:dyDescent="0.3">
      <c r="C11" s="27">
        <v>5</v>
      </c>
      <c r="D11" s="28" t="s">
        <v>45</v>
      </c>
      <c r="E11" s="29">
        <v>60000</v>
      </c>
      <c r="F11" s="66">
        <v>1</v>
      </c>
      <c r="G11" s="66"/>
      <c r="H11" s="66"/>
      <c r="I11" s="66"/>
      <c r="J11" s="66"/>
      <c r="K11" s="72">
        <f t="shared" si="1"/>
        <v>1</v>
      </c>
      <c r="L11" s="60">
        <f t="shared" si="0"/>
        <v>60000</v>
      </c>
      <c r="M11" s="52" t="s">
        <v>29</v>
      </c>
    </row>
    <row r="12" spans="3:13" s="31" customFormat="1" ht="15" customHeight="1" x14ac:dyDescent="0.3">
      <c r="C12" s="27">
        <v>6</v>
      </c>
      <c r="D12" s="28" t="s">
        <v>85</v>
      </c>
      <c r="E12" s="29">
        <v>30000</v>
      </c>
      <c r="F12" s="66">
        <v>1</v>
      </c>
      <c r="G12" s="66"/>
      <c r="H12" s="66"/>
      <c r="I12" s="66"/>
      <c r="J12" s="66"/>
      <c r="K12" s="72">
        <f t="shared" si="1"/>
        <v>1</v>
      </c>
      <c r="L12" s="66">
        <f t="shared" si="0"/>
        <v>30000</v>
      </c>
      <c r="M12" s="52" t="s">
        <v>29</v>
      </c>
    </row>
    <row r="13" spans="3:13" ht="15" customHeight="1" x14ac:dyDescent="0.3">
      <c r="C13" s="27">
        <v>7</v>
      </c>
      <c r="D13" s="28" t="s">
        <v>118</v>
      </c>
      <c r="E13" s="29">
        <f>E25</f>
        <v>17036</v>
      </c>
      <c r="F13" s="66">
        <v>1</v>
      </c>
      <c r="G13" s="66"/>
      <c r="H13" s="66"/>
      <c r="I13" s="66"/>
      <c r="J13" s="66"/>
      <c r="K13" s="72">
        <f>SUM(F13:J13)</f>
        <v>1</v>
      </c>
      <c r="L13" s="66">
        <f t="shared" si="0"/>
        <v>17036</v>
      </c>
      <c r="M13" s="52" t="s">
        <v>29</v>
      </c>
    </row>
    <row r="14" spans="3:13" ht="15" customHeight="1" x14ac:dyDescent="0.3">
      <c r="C14" s="172" t="s">
        <v>17</v>
      </c>
      <c r="D14" s="172"/>
      <c r="E14" s="32"/>
      <c r="F14" s="26">
        <f t="shared" ref="F14:K14" si="4">SUM(F7:F13)</f>
        <v>6</v>
      </c>
      <c r="G14" s="26">
        <f t="shared" si="4"/>
        <v>1</v>
      </c>
      <c r="H14" s="26">
        <f t="shared" si="4"/>
        <v>1</v>
      </c>
      <c r="I14" s="26">
        <f t="shared" si="4"/>
        <v>1</v>
      </c>
      <c r="J14" s="26">
        <f t="shared" si="4"/>
        <v>0</v>
      </c>
      <c r="K14" s="26">
        <f t="shared" si="4"/>
        <v>9</v>
      </c>
      <c r="L14" s="26">
        <f>SUM(L7:L13)</f>
        <v>382036</v>
      </c>
      <c r="M14" s="53"/>
    </row>
    <row r="15" spans="3:13" ht="15" customHeight="1" x14ac:dyDescent="0.3">
      <c r="C15" s="61"/>
      <c r="D15" s="33" t="s">
        <v>23</v>
      </c>
      <c r="E15" s="23"/>
      <c r="F15" s="24" t="s">
        <v>0</v>
      </c>
      <c r="G15" s="24" t="s">
        <v>2</v>
      </c>
      <c r="H15" s="24" t="s">
        <v>3</v>
      </c>
      <c r="I15" s="24" t="s">
        <v>4</v>
      </c>
      <c r="J15" s="24"/>
      <c r="K15" s="71" t="s">
        <v>25</v>
      </c>
      <c r="L15" s="24" t="s">
        <v>6</v>
      </c>
      <c r="M15" s="54"/>
    </row>
    <row r="16" spans="3:13" ht="15" customHeight="1" x14ac:dyDescent="0.3">
      <c r="C16" s="27">
        <v>1</v>
      </c>
      <c r="D16" s="34" t="s">
        <v>22</v>
      </c>
      <c r="E16" s="29">
        <f>'Wage Breakup'!L33</f>
        <v>29038</v>
      </c>
      <c r="F16" s="66"/>
      <c r="G16" s="66">
        <v>1</v>
      </c>
      <c r="H16" s="66">
        <v>1</v>
      </c>
      <c r="I16" s="66">
        <v>1</v>
      </c>
      <c r="J16" s="66"/>
      <c r="K16" s="72">
        <f t="shared" ref="K16:K20" si="5">SUM(F16:J16)</f>
        <v>3</v>
      </c>
      <c r="L16" s="60">
        <f t="shared" ref="L16:L19" si="6">K16*E16</f>
        <v>87114</v>
      </c>
      <c r="M16" s="52" t="s">
        <v>110</v>
      </c>
    </row>
    <row r="17" spans="3:15" ht="15" customHeight="1" x14ac:dyDescent="0.3">
      <c r="C17" s="27">
        <f>+C16+1</f>
        <v>2</v>
      </c>
      <c r="D17" s="34" t="s">
        <v>111</v>
      </c>
      <c r="E17" s="156">
        <v>18861</v>
      </c>
      <c r="F17" s="66"/>
      <c r="G17" s="66">
        <v>3</v>
      </c>
      <c r="H17" s="66">
        <v>3</v>
      </c>
      <c r="I17" s="66">
        <v>2</v>
      </c>
      <c r="J17" s="66">
        <v>1</v>
      </c>
      <c r="K17" s="72">
        <f t="shared" si="5"/>
        <v>9</v>
      </c>
      <c r="L17" s="60">
        <f t="shared" si="6"/>
        <v>169749</v>
      </c>
      <c r="M17" s="52" t="s">
        <v>110</v>
      </c>
    </row>
    <row r="18" spans="3:15" ht="15" customHeight="1" x14ac:dyDescent="0.3">
      <c r="C18" s="27">
        <v>3</v>
      </c>
      <c r="D18" s="34" t="s">
        <v>83</v>
      </c>
      <c r="E18" s="156">
        <v>20105</v>
      </c>
      <c r="F18" s="66"/>
      <c r="G18" s="66">
        <v>1</v>
      </c>
      <c r="H18" s="66">
        <v>1</v>
      </c>
      <c r="I18" s="66">
        <v>1</v>
      </c>
      <c r="J18" s="66">
        <v>1</v>
      </c>
      <c r="K18" s="72">
        <f t="shared" si="5"/>
        <v>4</v>
      </c>
      <c r="L18" s="60">
        <f t="shared" si="6"/>
        <v>80420</v>
      </c>
      <c r="M18" s="52" t="s">
        <v>110</v>
      </c>
      <c r="N18" s="4">
        <v>3</v>
      </c>
    </row>
    <row r="19" spans="3:15" ht="15" customHeight="1" x14ac:dyDescent="0.3">
      <c r="C19" s="27">
        <v>4</v>
      </c>
      <c r="D19" s="34" t="s">
        <v>65</v>
      </c>
      <c r="E19" s="29">
        <f>'Wage Breakup'!Q33</f>
        <v>20511</v>
      </c>
      <c r="F19" s="66">
        <v>1</v>
      </c>
      <c r="G19" s="66"/>
      <c r="H19" s="66"/>
      <c r="I19" s="66"/>
      <c r="J19" s="66"/>
      <c r="K19" s="72">
        <f t="shared" si="5"/>
        <v>1</v>
      </c>
      <c r="L19" s="60">
        <f t="shared" si="6"/>
        <v>20511</v>
      </c>
      <c r="M19" s="52" t="s">
        <v>110</v>
      </c>
    </row>
    <row r="20" spans="3:15" ht="15" customHeight="1" x14ac:dyDescent="0.3">
      <c r="C20" s="27">
        <v>5</v>
      </c>
      <c r="D20" s="34" t="s">
        <v>82</v>
      </c>
      <c r="E20" s="29">
        <f>'Wage Breakup'!R33</f>
        <v>20511</v>
      </c>
      <c r="F20" s="66">
        <v>1</v>
      </c>
      <c r="G20" s="66"/>
      <c r="H20" s="66"/>
      <c r="I20" s="66"/>
      <c r="J20" s="66"/>
      <c r="K20" s="72">
        <f t="shared" si="5"/>
        <v>1</v>
      </c>
      <c r="L20" s="66">
        <f t="shared" ref="L20" si="7">K20*E20</f>
        <v>20511</v>
      </c>
      <c r="M20" s="52" t="s">
        <v>110</v>
      </c>
    </row>
    <row r="21" spans="3:15" ht="15" customHeight="1" x14ac:dyDescent="0.3">
      <c r="C21" s="172" t="s">
        <v>17</v>
      </c>
      <c r="D21" s="172"/>
      <c r="E21" s="35"/>
      <c r="F21" s="26">
        <f>SUM(F16:F20)</f>
        <v>2</v>
      </c>
      <c r="G21" s="26">
        <f>SUM(G16:G19)</f>
        <v>5</v>
      </c>
      <c r="H21" s="26">
        <f>SUM(H16:H19)</f>
        <v>5</v>
      </c>
      <c r="I21" s="26">
        <f>SUM(I16:I19)</f>
        <v>4</v>
      </c>
      <c r="J21" s="26">
        <f>SUM(J16:J19)</f>
        <v>2</v>
      </c>
      <c r="K21" s="70">
        <f>SUM(K16:K20)</f>
        <v>18</v>
      </c>
      <c r="L21" s="62">
        <f>SUM(L16:L20)</f>
        <v>378305</v>
      </c>
      <c r="M21" s="53"/>
    </row>
    <row r="22" spans="3:15" ht="15" customHeight="1" x14ac:dyDescent="0.3">
      <c r="C22" s="36"/>
      <c r="D22" s="37" t="s">
        <v>24</v>
      </c>
      <c r="E22" s="38"/>
      <c r="F22" s="24" t="s">
        <v>0</v>
      </c>
      <c r="G22" s="24" t="s">
        <v>2</v>
      </c>
      <c r="H22" s="24" t="s">
        <v>3</v>
      </c>
      <c r="I22" s="24" t="s">
        <v>4</v>
      </c>
      <c r="J22" s="24"/>
      <c r="K22" s="71" t="s">
        <v>25</v>
      </c>
      <c r="L22" s="24" t="s">
        <v>6</v>
      </c>
      <c r="M22" s="54"/>
    </row>
    <row r="23" spans="3:15" ht="15" customHeight="1" x14ac:dyDescent="0.3">
      <c r="C23" s="27">
        <v>1</v>
      </c>
      <c r="D23" s="34" t="s">
        <v>12</v>
      </c>
      <c r="E23" s="156">
        <v>19074</v>
      </c>
      <c r="F23" s="66"/>
      <c r="G23" s="66">
        <v>1</v>
      </c>
      <c r="H23" s="66"/>
      <c r="I23" s="66"/>
      <c r="J23" s="66"/>
      <c r="K23" s="72">
        <f>SUM(F23:J23)</f>
        <v>1</v>
      </c>
      <c r="L23" s="60">
        <f t="shared" ref="L23:L25" si="8">K23*E23</f>
        <v>19074</v>
      </c>
      <c r="M23" s="52" t="s">
        <v>29</v>
      </c>
      <c r="N23" s="4" t="s">
        <v>115</v>
      </c>
      <c r="O23" s="65"/>
    </row>
    <row r="24" spans="3:15" ht="15" customHeight="1" x14ac:dyDescent="0.3">
      <c r="C24" s="27">
        <f>C23+1</f>
        <v>2</v>
      </c>
      <c r="D24" s="34" t="s">
        <v>47</v>
      </c>
      <c r="E24" s="29">
        <f>'Wage Breakup'!E33</f>
        <v>15599</v>
      </c>
      <c r="F24" s="66"/>
      <c r="G24" s="66">
        <f>Deployment!D9</f>
        <v>16</v>
      </c>
      <c r="H24" s="66">
        <f>Deployment!E9</f>
        <v>2</v>
      </c>
      <c r="I24" s="66"/>
      <c r="J24" s="66">
        <v>2</v>
      </c>
      <c r="K24" s="72">
        <f>SUM(F24:J24)</f>
        <v>20</v>
      </c>
      <c r="L24" s="60">
        <f t="shared" si="8"/>
        <v>311980</v>
      </c>
      <c r="M24" s="52" t="s">
        <v>29</v>
      </c>
      <c r="N24" s="142"/>
    </row>
    <row r="25" spans="3:15" ht="15" customHeight="1" x14ac:dyDescent="0.3">
      <c r="C25" s="27">
        <f t="shared" ref="C25" si="9">C24+1</f>
        <v>3</v>
      </c>
      <c r="D25" s="28" t="s">
        <v>48</v>
      </c>
      <c r="E25" s="29">
        <f>'Wage Breakup'!F33</f>
        <v>17036</v>
      </c>
      <c r="F25" s="66">
        <v>1</v>
      </c>
      <c r="G25" s="66"/>
      <c r="H25" s="66"/>
      <c r="I25" s="66"/>
      <c r="J25" s="66"/>
      <c r="K25" s="72">
        <f>SUM(F25:J25)</f>
        <v>1</v>
      </c>
      <c r="L25" s="60">
        <f t="shared" si="8"/>
        <v>17036</v>
      </c>
      <c r="M25" s="52" t="s">
        <v>29</v>
      </c>
    </row>
    <row r="26" spans="3:15" ht="15" customHeight="1" x14ac:dyDescent="0.3">
      <c r="C26" s="172" t="s">
        <v>17</v>
      </c>
      <c r="D26" s="172"/>
      <c r="E26" s="35"/>
      <c r="F26" s="26">
        <f t="shared" ref="F26:L26" si="10">SUM(F23:F25)</f>
        <v>1</v>
      </c>
      <c r="G26" s="26">
        <f t="shared" si="10"/>
        <v>17</v>
      </c>
      <c r="H26" s="26">
        <f t="shared" si="10"/>
        <v>2</v>
      </c>
      <c r="I26" s="26">
        <f t="shared" si="10"/>
        <v>0</v>
      </c>
      <c r="J26" s="26">
        <f t="shared" si="10"/>
        <v>2</v>
      </c>
      <c r="K26" s="70">
        <f t="shared" si="10"/>
        <v>22</v>
      </c>
      <c r="L26" s="35">
        <f t="shared" si="10"/>
        <v>348090</v>
      </c>
      <c r="M26" s="53"/>
    </row>
    <row r="27" spans="3:15" ht="15" customHeight="1" x14ac:dyDescent="0.3">
      <c r="C27" s="36"/>
      <c r="D27" s="39" t="s">
        <v>8</v>
      </c>
      <c r="E27" s="38"/>
      <c r="F27" s="24" t="s">
        <v>0</v>
      </c>
      <c r="G27" s="24" t="s">
        <v>2</v>
      </c>
      <c r="H27" s="24" t="s">
        <v>3</v>
      </c>
      <c r="I27" s="24" t="s">
        <v>4</v>
      </c>
      <c r="J27" s="24"/>
      <c r="K27" s="25" t="s">
        <v>25</v>
      </c>
      <c r="L27" s="24" t="s">
        <v>6</v>
      </c>
      <c r="M27" s="54"/>
    </row>
    <row r="28" spans="3:15" ht="15" customHeight="1" x14ac:dyDescent="0.3">
      <c r="C28" s="27">
        <v>1</v>
      </c>
      <c r="D28" s="40" t="s">
        <v>49</v>
      </c>
      <c r="E28" s="156">
        <v>18544</v>
      </c>
      <c r="F28" s="66"/>
      <c r="G28" s="66">
        <v>1</v>
      </c>
      <c r="H28" s="66"/>
      <c r="I28" s="66"/>
      <c r="J28" s="66"/>
      <c r="K28" s="72">
        <f>SUM(F28:J28)</f>
        <v>1</v>
      </c>
      <c r="L28" s="60">
        <f t="shared" ref="L28:L29" si="11">K28*E28</f>
        <v>18544</v>
      </c>
      <c r="M28" s="52" t="s">
        <v>29</v>
      </c>
    </row>
    <row r="29" spans="3:15" ht="15" customHeight="1" x14ac:dyDescent="0.3">
      <c r="C29" s="27">
        <f>C28+1</f>
        <v>2</v>
      </c>
      <c r="D29" s="40" t="s">
        <v>50</v>
      </c>
      <c r="E29" s="29">
        <f>'Wage Breakup'!H33</f>
        <v>15599</v>
      </c>
      <c r="F29" s="66"/>
      <c r="G29" s="66">
        <v>4</v>
      </c>
      <c r="H29" s="66">
        <v>3</v>
      </c>
      <c r="I29" s="66"/>
      <c r="J29" s="66"/>
      <c r="K29" s="72">
        <f>SUM(F29:J29)</f>
        <v>7</v>
      </c>
      <c r="L29" s="60">
        <f t="shared" si="11"/>
        <v>109193</v>
      </c>
      <c r="M29" s="52" t="s">
        <v>29</v>
      </c>
    </row>
    <row r="30" spans="3:15" ht="15" customHeight="1" x14ac:dyDescent="0.3">
      <c r="C30" s="169" t="s">
        <v>17</v>
      </c>
      <c r="D30" s="169"/>
      <c r="E30" s="35"/>
      <c r="F30" s="26">
        <f t="shared" ref="F30:L30" si="12">SUM(F28:F29)</f>
        <v>0</v>
      </c>
      <c r="G30" s="26">
        <f t="shared" si="12"/>
        <v>5</v>
      </c>
      <c r="H30" s="26">
        <f t="shared" si="12"/>
        <v>3</v>
      </c>
      <c r="I30" s="26">
        <f t="shared" si="12"/>
        <v>0</v>
      </c>
      <c r="J30" s="26">
        <f t="shared" si="12"/>
        <v>0</v>
      </c>
      <c r="K30" s="70">
        <f t="shared" si="12"/>
        <v>8</v>
      </c>
      <c r="L30" s="62">
        <f t="shared" si="12"/>
        <v>127737</v>
      </c>
      <c r="M30" s="53"/>
    </row>
    <row r="31" spans="3:15" ht="15" customHeight="1" x14ac:dyDescent="0.3">
      <c r="C31" s="36"/>
      <c r="D31" s="37" t="s">
        <v>21</v>
      </c>
      <c r="E31" s="38"/>
      <c r="F31" s="24" t="s">
        <v>0</v>
      </c>
      <c r="G31" s="24" t="s">
        <v>2</v>
      </c>
      <c r="H31" s="24" t="s">
        <v>3</v>
      </c>
      <c r="I31" s="24" t="s">
        <v>4</v>
      </c>
      <c r="J31" s="24"/>
      <c r="K31" s="71" t="s">
        <v>25</v>
      </c>
      <c r="L31" s="24" t="s">
        <v>6</v>
      </c>
      <c r="M31" s="54"/>
    </row>
    <row r="32" spans="3:15" ht="15" customHeight="1" x14ac:dyDescent="0.3">
      <c r="C32" s="41">
        <v>1</v>
      </c>
      <c r="D32" s="42" t="s">
        <v>9</v>
      </c>
      <c r="E32" s="156">
        <v>22240</v>
      </c>
      <c r="F32" s="66"/>
      <c r="G32" s="66">
        <v>1</v>
      </c>
      <c r="H32" s="66"/>
      <c r="I32" s="66">
        <v>1</v>
      </c>
      <c r="J32" s="66"/>
      <c r="K32" s="72">
        <f>SUM(F32:J32)</f>
        <v>2</v>
      </c>
      <c r="L32" s="60">
        <f>K32*E32</f>
        <v>44480</v>
      </c>
      <c r="M32" s="52" t="s">
        <v>88</v>
      </c>
    </row>
    <row r="33" spans="3:15" ht="15" customHeight="1" x14ac:dyDescent="0.3">
      <c r="C33" s="41">
        <f>C32+1</f>
        <v>2</v>
      </c>
      <c r="D33" s="28" t="s">
        <v>11</v>
      </c>
      <c r="E33" s="156">
        <v>18249</v>
      </c>
      <c r="F33" s="66"/>
      <c r="G33" s="66">
        <v>16</v>
      </c>
      <c r="H33" s="66"/>
      <c r="I33" s="66">
        <v>15</v>
      </c>
      <c r="J33" s="66"/>
      <c r="K33" s="72">
        <f t="shared" ref="K33:K34" si="13">SUM(F33:J33)</f>
        <v>31</v>
      </c>
      <c r="L33" s="63">
        <f>K33*E33</f>
        <v>565719</v>
      </c>
      <c r="M33" s="52" t="s">
        <v>88</v>
      </c>
    </row>
    <row r="34" spans="3:15" ht="15" customHeight="1" x14ac:dyDescent="0.3">
      <c r="C34" s="41">
        <v>3</v>
      </c>
      <c r="D34" s="28" t="s">
        <v>87</v>
      </c>
      <c r="E34" s="156">
        <v>18249</v>
      </c>
      <c r="F34" s="66"/>
      <c r="G34" s="66">
        <v>1</v>
      </c>
      <c r="H34" s="66"/>
      <c r="I34" s="66">
        <v>1</v>
      </c>
      <c r="J34" s="66"/>
      <c r="K34" s="72">
        <f t="shared" si="13"/>
        <v>2</v>
      </c>
      <c r="L34" s="66">
        <f>K34*E34</f>
        <v>36498</v>
      </c>
      <c r="M34" s="52" t="s">
        <v>88</v>
      </c>
    </row>
    <row r="35" spans="3:15" ht="15" customHeight="1" x14ac:dyDescent="0.3">
      <c r="C35" s="41">
        <v>4</v>
      </c>
      <c r="D35" s="28" t="s">
        <v>86</v>
      </c>
      <c r="E35" s="156">
        <v>22188</v>
      </c>
      <c r="F35" s="66"/>
      <c r="G35" s="66">
        <v>1</v>
      </c>
      <c r="H35" s="66"/>
      <c r="I35" s="66">
        <v>1</v>
      </c>
      <c r="J35" s="66"/>
      <c r="K35" s="72">
        <f t="shared" ref="K35" si="14">SUM(F35:J35)</f>
        <v>2</v>
      </c>
      <c r="L35" s="66">
        <f>K35*E35</f>
        <v>44376</v>
      </c>
      <c r="M35" s="52" t="s">
        <v>88</v>
      </c>
    </row>
    <row r="36" spans="3:15" ht="15" customHeight="1" x14ac:dyDescent="0.3">
      <c r="C36" s="41">
        <v>5</v>
      </c>
      <c r="D36" s="46" t="s">
        <v>76</v>
      </c>
      <c r="E36" s="44"/>
      <c r="F36" s="66" t="s">
        <v>66</v>
      </c>
      <c r="G36" s="66"/>
      <c r="H36" s="66"/>
      <c r="I36" s="66"/>
      <c r="J36" s="66"/>
      <c r="K36" s="45"/>
      <c r="L36" s="45">
        <v>4000</v>
      </c>
      <c r="M36" s="52"/>
    </row>
    <row r="37" spans="3:15" ht="15" customHeight="1" x14ac:dyDescent="0.3">
      <c r="C37" s="169" t="s">
        <v>17</v>
      </c>
      <c r="D37" s="169"/>
      <c r="E37" s="35"/>
      <c r="F37" s="152">
        <f t="shared" ref="F37:K37" si="15">SUM(F32:F36)</f>
        <v>0</v>
      </c>
      <c r="G37" s="152">
        <f t="shared" si="15"/>
        <v>19</v>
      </c>
      <c r="H37" s="152">
        <f t="shared" si="15"/>
        <v>0</v>
      </c>
      <c r="I37" s="152">
        <f t="shared" si="15"/>
        <v>18</v>
      </c>
      <c r="J37" s="152">
        <f t="shared" si="15"/>
        <v>0</v>
      </c>
      <c r="K37" s="152">
        <f t="shared" si="15"/>
        <v>37</v>
      </c>
      <c r="L37" s="62">
        <f>SUM(L32:L36)</f>
        <v>695073</v>
      </c>
      <c r="M37" s="53"/>
    </row>
    <row r="38" spans="3:15" ht="15" customHeight="1" x14ac:dyDescent="0.3">
      <c r="C38" s="36"/>
      <c r="D38" s="37" t="s">
        <v>67</v>
      </c>
      <c r="E38" s="38"/>
      <c r="F38" s="24"/>
      <c r="G38" s="24"/>
      <c r="H38" s="24"/>
      <c r="I38" s="24"/>
      <c r="J38" s="24"/>
      <c r="K38" s="71" t="s">
        <v>25</v>
      </c>
      <c r="L38" s="24" t="s">
        <v>6</v>
      </c>
      <c r="M38" s="54"/>
    </row>
    <row r="39" spans="3:15" hidden="1" x14ac:dyDescent="0.3">
      <c r="C39" s="41">
        <v>1</v>
      </c>
      <c r="D39" s="43" t="s">
        <v>113</v>
      </c>
      <c r="E39" s="44"/>
      <c r="F39" s="66" t="s">
        <v>66</v>
      </c>
      <c r="G39" s="66"/>
      <c r="H39" s="66"/>
      <c r="I39" s="66"/>
      <c r="J39" s="66"/>
      <c r="K39" s="66"/>
      <c r="L39" s="45"/>
      <c r="M39" s="4"/>
      <c r="N39" s="45">
        <v>35000</v>
      </c>
    </row>
    <row r="40" spans="3:15" ht="15" hidden="1" customHeight="1" x14ac:dyDescent="0.3">
      <c r="C40" s="41">
        <f t="shared" ref="C40" si="16">C39+1</f>
        <v>2</v>
      </c>
      <c r="D40" s="55"/>
      <c r="E40" s="44"/>
      <c r="F40" s="66"/>
      <c r="G40" s="66"/>
      <c r="H40" s="66"/>
      <c r="I40" s="66"/>
      <c r="J40" s="66"/>
      <c r="K40" s="66"/>
      <c r="L40" s="45"/>
      <c r="M40" s="4"/>
      <c r="N40" s="66">
        <f>K40*E40</f>
        <v>0</v>
      </c>
    </row>
    <row r="41" spans="3:15" ht="15" hidden="1" customHeight="1" x14ac:dyDescent="0.3">
      <c r="C41" s="41">
        <f>+C40+1</f>
        <v>3</v>
      </c>
      <c r="D41" s="55"/>
      <c r="E41" s="44"/>
      <c r="F41" s="66"/>
      <c r="G41" s="66"/>
      <c r="H41" s="66"/>
      <c r="I41" s="66"/>
      <c r="J41" s="66"/>
      <c r="K41" s="66"/>
      <c r="L41" s="45"/>
      <c r="M41" s="4"/>
      <c r="N41" s="66">
        <f>K41*E41</f>
        <v>0</v>
      </c>
    </row>
    <row r="42" spans="3:15" ht="15" hidden="1" customHeight="1" x14ac:dyDescent="0.3">
      <c r="C42" s="41">
        <f t="shared" ref="C42:C46" si="17">+C41+1</f>
        <v>4</v>
      </c>
      <c r="D42" s="55"/>
      <c r="E42" s="44"/>
      <c r="F42" s="66"/>
      <c r="G42" s="66"/>
      <c r="H42" s="66"/>
      <c r="I42" s="66"/>
      <c r="J42" s="66"/>
      <c r="K42" s="66"/>
      <c r="L42" s="45"/>
      <c r="M42" s="4"/>
      <c r="N42" s="66">
        <f>K42*E42</f>
        <v>0</v>
      </c>
    </row>
    <row r="43" spans="3:15" ht="15" hidden="1" customHeight="1" x14ac:dyDescent="0.3">
      <c r="C43" s="41">
        <f t="shared" si="17"/>
        <v>5</v>
      </c>
      <c r="D43" s="55"/>
      <c r="E43" s="44"/>
      <c r="F43" s="66"/>
      <c r="G43" s="66"/>
      <c r="H43" s="66"/>
      <c r="I43" s="66"/>
      <c r="J43" s="66"/>
      <c r="K43" s="66"/>
      <c r="L43" s="45"/>
      <c r="M43" s="4"/>
      <c r="N43" s="66">
        <f>K43*E43</f>
        <v>0</v>
      </c>
    </row>
    <row r="44" spans="3:15" hidden="1" x14ac:dyDescent="0.3">
      <c r="C44" s="41">
        <f t="shared" si="17"/>
        <v>6</v>
      </c>
      <c r="D44" s="55" t="s">
        <v>93</v>
      </c>
      <c r="E44" s="44"/>
      <c r="F44" s="66" t="s">
        <v>66</v>
      </c>
      <c r="G44" s="66"/>
      <c r="H44" s="66"/>
      <c r="I44" s="66"/>
      <c r="J44" s="66"/>
      <c r="K44" s="45"/>
      <c r="L44" s="45"/>
      <c r="M44" s="4"/>
      <c r="N44" s="45">
        <v>20000</v>
      </c>
      <c r="O44" s="137"/>
    </row>
    <row r="45" spans="3:15" ht="15" hidden="1" customHeight="1" x14ac:dyDescent="0.3">
      <c r="C45" s="41">
        <f t="shared" si="17"/>
        <v>7</v>
      </c>
      <c r="D45" s="46" t="s">
        <v>10</v>
      </c>
      <c r="E45" s="44"/>
      <c r="F45" s="66" t="s">
        <v>66</v>
      </c>
      <c r="G45" s="66"/>
      <c r="H45" s="66"/>
      <c r="I45" s="66"/>
      <c r="J45" s="66"/>
      <c r="K45" s="45"/>
      <c r="L45" s="45"/>
      <c r="M45" s="4"/>
      <c r="N45" s="45">
        <v>5000</v>
      </c>
    </row>
    <row r="46" spans="3:15" ht="15" hidden="1" customHeight="1" x14ac:dyDescent="0.3">
      <c r="C46" s="41">
        <f t="shared" si="17"/>
        <v>8</v>
      </c>
      <c r="D46" s="55" t="s">
        <v>112</v>
      </c>
      <c r="E46" s="44"/>
      <c r="F46" s="66" t="s">
        <v>66</v>
      </c>
      <c r="G46" s="66"/>
      <c r="H46" s="66"/>
      <c r="I46" s="66"/>
      <c r="J46" s="66"/>
      <c r="K46" s="45"/>
      <c r="L46" s="45"/>
      <c r="M46" s="4"/>
      <c r="N46" s="45">
        <v>35000</v>
      </c>
    </row>
    <row r="47" spans="3:15" ht="15" customHeight="1" x14ac:dyDescent="0.3">
      <c r="C47" s="41"/>
      <c r="D47" s="157" t="s">
        <v>119</v>
      </c>
      <c r="E47" s="44"/>
      <c r="F47" s="66" t="s">
        <v>66</v>
      </c>
      <c r="G47" s="66"/>
      <c r="H47" s="66"/>
      <c r="I47" s="66"/>
      <c r="J47" s="66"/>
      <c r="K47" s="45"/>
      <c r="L47" s="158">
        <v>160000</v>
      </c>
      <c r="M47" s="4"/>
      <c r="N47" s="45"/>
    </row>
    <row r="48" spans="3:15" ht="15" customHeight="1" x14ac:dyDescent="0.3">
      <c r="C48" s="41"/>
      <c r="D48" s="157" t="s">
        <v>191</v>
      </c>
      <c r="E48" s="44"/>
      <c r="F48" s="66"/>
      <c r="G48" s="66"/>
      <c r="H48" s="66"/>
      <c r="I48" s="66"/>
      <c r="J48" s="66"/>
      <c r="K48" s="45"/>
      <c r="L48" s="45"/>
      <c r="M48" s="4"/>
      <c r="N48" s="45"/>
    </row>
    <row r="49" spans="3:14" ht="15" customHeight="1" x14ac:dyDescent="0.3">
      <c r="C49" s="41"/>
      <c r="D49" s="55" t="s">
        <v>120</v>
      </c>
      <c r="E49" s="44"/>
      <c r="F49" s="66"/>
      <c r="G49" s="66"/>
      <c r="H49" s="66"/>
      <c r="I49" s="66"/>
      <c r="J49" s="66"/>
      <c r="K49" s="45"/>
      <c r="L49" s="45">
        <f>252005</f>
        <v>252005</v>
      </c>
      <c r="M49" s="4"/>
      <c r="N49" s="45"/>
    </row>
    <row r="50" spans="3:14" ht="15" customHeight="1" x14ac:dyDescent="0.3">
      <c r="C50" s="41"/>
      <c r="D50" s="55" t="s">
        <v>121</v>
      </c>
      <c r="E50" s="44"/>
      <c r="F50" s="66"/>
      <c r="G50" s="66"/>
      <c r="H50" s="66"/>
      <c r="I50" s="66"/>
      <c r="J50" s="66"/>
      <c r="K50" s="45"/>
      <c r="L50" s="45">
        <v>34167</v>
      </c>
      <c r="M50" s="4"/>
      <c r="N50" s="45"/>
    </row>
    <row r="51" spans="3:14" ht="15" customHeight="1" x14ac:dyDescent="0.3">
      <c r="C51" s="41"/>
      <c r="D51" s="55" t="s">
        <v>122</v>
      </c>
      <c r="E51" s="44"/>
      <c r="F51" s="66"/>
      <c r="G51" s="66"/>
      <c r="H51" s="66"/>
      <c r="I51" s="66"/>
      <c r="J51" s="66"/>
      <c r="K51" s="45"/>
      <c r="L51" s="45">
        <v>20000</v>
      </c>
      <c r="M51" s="4"/>
      <c r="N51" s="45"/>
    </row>
    <row r="52" spans="3:14" ht="15" customHeight="1" x14ac:dyDescent="0.3">
      <c r="C52" s="41"/>
      <c r="D52" s="55" t="s">
        <v>130</v>
      </c>
      <c r="E52" s="44"/>
      <c r="F52" s="66"/>
      <c r="G52" s="66"/>
      <c r="H52" s="66"/>
      <c r="I52" s="66"/>
      <c r="J52" s="66"/>
      <c r="K52" s="45"/>
      <c r="L52" s="45">
        <v>80250</v>
      </c>
      <c r="M52" s="4"/>
      <c r="N52" s="45"/>
    </row>
    <row r="53" spans="3:14" ht="15" customHeight="1" x14ac:dyDescent="0.3">
      <c r="C53" s="41"/>
      <c r="D53" s="55" t="s">
        <v>123</v>
      </c>
      <c r="E53" s="44"/>
      <c r="F53" s="66"/>
      <c r="G53" s="66"/>
      <c r="H53" s="66"/>
      <c r="I53" s="66"/>
      <c r="J53" s="66"/>
      <c r="K53" s="45"/>
      <c r="L53" s="45">
        <v>15000</v>
      </c>
      <c r="M53" s="4"/>
      <c r="N53" s="45"/>
    </row>
    <row r="54" spans="3:14" ht="15" customHeight="1" x14ac:dyDescent="0.3">
      <c r="C54" s="41"/>
      <c r="D54" s="55" t="s">
        <v>124</v>
      </c>
      <c r="E54" s="44"/>
      <c r="F54" s="66"/>
      <c r="G54" s="66"/>
      <c r="H54" s="66"/>
      <c r="I54" s="66"/>
      <c r="J54" s="66"/>
      <c r="K54" s="45"/>
      <c r="L54" s="45">
        <v>4665</v>
      </c>
      <c r="M54" s="4"/>
      <c r="N54" s="45"/>
    </row>
    <row r="55" spans="3:14" ht="15" customHeight="1" x14ac:dyDescent="0.3">
      <c r="C55" s="41"/>
      <c r="D55" s="55" t="s">
        <v>125</v>
      </c>
      <c r="E55" s="44"/>
      <c r="F55" s="66"/>
      <c r="G55" s="66"/>
      <c r="H55" s="66"/>
      <c r="I55" s="66"/>
      <c r="J55" s="66"/>
      <c r="K55" s="45"/>
      <c r="L55" s="45">
        <v>14600</v>
      </c>
      <c r="M55" s="4"/>
      <c r="N55" s="45"/>
    </row>
    <row r="56" spans="3:14" ht="15" customHeight="1" x14ac:dyDescent="0.3">
      <c r="C56" s="41"/>
      <c r="D56" s="55" t="s">
        <v>126</v>
      </c>
      <c r="E56" s="44"/>
      <c r="F56" s="66"/>
      <c r="G56" s="66"/>
      <c r="H56" s="66"/>
      <c r="I56" s="66"/>
      <c r="J56" s="66"/>
      <c r="K56" s="45"/>
      <c r="L56" s="45">
        <v>3210</v>
      </c>
      <c r="M56" s="4"/>
      <c r="N56" s="45"/>
    </row>
    <row r="57" spans="3:14" ht="15" customHeight="1" x14ac:dyDescent="0.3">
      <c r="C57" s="41"/>
      <c r="D57" s="55" t="s">
        <v>127</v>
      </c>
      <c r="E57" s="44"/>
      <c r="F57" s="66"/>
      <c r="G57" s="66"/>
      <c r="H57" s="66"/>
      <c r="I57" s="66"/>
      <c r="J57" s="66"/>
      <c r="K57" s="45"/>
      <c r="L57" s="45">
        <v>2500</v>
      </c>
      <c r="M57" s="4"/>
      <c r="N57" s="45"/>
    </row>
    <row r="58" spans="3:14" ht="15" customHeight="1" x14ac:dyDescent="0.3">
      <c r="C58" s="41"/>
      <c r="D58" s="55" t="s">
        <v>128</v>
      </c>
      <c r="E58" s="44"/>
      <c r="F58" s="66"/>
      <c r="G58" s="66"/>
      <c r="H58" s="66"/>
      <c r="I58" s="66"/>
      <c r="J58" s="66"/>
      <c r="K58" s="45"/>
      <c r="L58" s="45">
        <v>14000</v>
      </c>
      <c r="M58" s="4"/>
      <c r="N58" s="45"/>
    </row>
    <row r="59" spans="3:14" ht="15" customHeight="1" x14ac:dyDescent="0.3">
      <c r="C59" s="41"/>
      <c r="D59" s="55" t="s">
        <v>129</v>
      </c>
      <c r="E59" s="44"/>
      <c r="F59" s="66"/>
      <c r="G59" s="66"/>
      <c r="H59" s="66"/>
      <c r="I59" s="66"/>
      <c r="J59" s="66"/>
      <c r="K59" s="45"/>
      <c r="L59" s="45">
        <v>23100</v>
      </c>
      <c r="M59" s="4"/>
      <c r="N59" s="45"/>
    </row>
    <row r="60" spans="3:14" ht="15" customHeight="1" x14ac:dyDescent="0.3">
      <c r="C60" s="41"/>
      <c r="D60" s="55" t="s">
        <v>131</v>
      </c>
      <c r="E60" s="44"/>
      <c r="F60" s="66"/>
      <c r="G60" s="66"/>
      <c r="H60" s="66"/>
      <c r="I60" s="66"/>
      <c r="J60" s="66"/>
      <c r="K60" s="45"/>
      <c r="L60" s="45">
        <v>9210</v>
      </c>
      <c r="M60" s="4"/>
      <c r="N60" s="45"/>
    </row>
    <row r="61" spans="3:14" ht="15" customHeight="1" x14ac:dyDescent="0.3">
      <c r="C61" s="41"/>
      <c r="D61" s="157" t="s">
        <v>132</v>
      </c>
      <c r="E61" s="44"/>
      <c r="F61" s="66"/>
      <c r="G61" s="66"/>
      <c r="H61" s="66"/>
      <c r="I61" s="66"/>
      <c r="J61" s="66"/>
      <c r="K61" s="45"/>
      <c r="L61" s="45"/>
      <c r="M61" s="4"/>
      <c r="N61" s="45"/>
    </row>
    <row r="62" spans="3:14" ht="15" customHeight="1" x14ac:dyDescent="0.3">
      <c r="C62" s="41"/>
      <c r="D62" s="55" t="s">
        <v>133</v>
      </c>
      <c r="E62" s="44"/>
      <c r="F62" s="66"/>
      <c r="G62" s="66"/>
      <c r="H62" s="66"/>
      <c r="I62" s="66"/>
      <c r="J62" s="66"/>
      <c r="K62" s="45"/>
      <c r="L62" s="45">
        <v>25000</v>
      </c>
      <c r="M62" s="4"/>
      <c r="N62" s="45"/>
    </row>
    <row r="63" spans="3:14" ht="15" customHeight="1" x14ac:dyDescent="0.3">
      <c r="C63" s="41"/>
      <c r="D63" s="55" t="s">
        <v>134</v>
      </c>
      <c r="E63" s="44"/>
      <c r="F63" s="66"/>
      <c r="G63" s="66"/>
      <c r="H63" s="66"/>
      <c r="I63" s="66"/>
      <c r="J63" s="66"/>
      <c r="K63" s="45"/>
      <c r="L63" s="45">
        <v>30000</v>
      </c>
      <c r="M63" s="4"/>
      <c r="N63" s="45"/>
    </row>
    <row r="64" spans="3:14" ht="15" customHeight="1" x14ac:dyDescent="0.3">
      <c r="C64" s="41"/>
      <c r="D64" s="55" t="s">
        <v>135</v>
      </c>
      <c r="E64" s="44"/>
      <c r="F64" s="66"/>
      <c r="G64" s="66"/>
      <c r="H64" s="66"/>
      <c r="I64" s="66"/>
      <c r="J64" s="66"/>
      <c r="K64" s="45"/>
      <c r="L64" s="45">
        <v>20000</v>
      </c>
      <c r="M64" s="4"/>
      <c r="N64" s="45"/>
    </row>
    <row r="65" spans="3:14" ht="15" customHeight="1" x14ac:dyDescent="0.3">
      <c r="C65" s="41"/>
      <c r="D65" s="55" t="s">
        <v>136</v>
      </c>
      <c r="E65" s="44"/>
      <c r="F65" s="66"/>
      <c r="G65" s="66"/>
      <c r="H65" s="66"/>
      <c r="I65" s="66"/>
      <c r="J65" s="66"/>
      <c r="K65" s="45"/>
      <c r="L65" s="45">
        <v>12500</v>
      </c>
      <c r="M65" s="4"/>
      <c r="N65" s="45"/>
    </row>
    <row r="66" spans="3:14" ht="15" customHeight="1" x14ac:dyDescent="0.3">
      <c r="C66" s="41"/>
      <c r="D66" s="55" t="s">
        <v>137</v>
      </c>
      <c r="E66" s="44"/>
      <c r="F66" s="66"/>
      <c r="G66" s="66"/>
      <c r="H66" s="66"/>
      <c r="I66" s="66"/>
      <c r="J66" s="66"/>
      <c r="K66" s="45"/>
      <c r="L66" s="45">
        <v>22440</v>
      </c>
      <c r="M66" s="4"/>
      <c r="N66" s="45"/>
    </row>
    <row r="67" spans="3:14" ht="15" customHeight="1" x14ac:dyDescent="0.3">
      <c r="C67" s="41"/>
      <c r="D67" s="157" t="s">
        <v>160</v>
      </c>
      <c r="E67" s="44"/>
      <c r="F67" s="66"/>
      <c r="G67" s="66"/>
      <c r="H67" s="66"/>
      <c r="I67" s="66"/>
      <c r="J67" s="66"/>
      <c r="K67" s="45"/>
      <c r="L67" s="45"/>
      <c r="M67" s="4"/>
      <c r="N67" s="45"/>
    </row>
    <row r="68" spans="3:14" ht="15" customHeight="1" x14ac:dyDescent="0.3">
      <c r="C68" s="41" t="s">
        <v>139</v>
      </c>
      <c r="D68" s="55" t="s">
        <v>138</v>
      </c>
      <c r="E68" s="44"/>
      <c r="F68" s="66"/>
      <c r="G68" s="66"/>
      <c r="H68" s="66"/>
      <c r="I68" s="66"/>
      <c r="J68" s="66"/>
      <c r="K68" s="45"/>
      <c r="L68" s="45">
        <v>8000</v>
      </c>
      <c r="M68" s="4"/>
      <c r="N68" s="45"/>
    </row>
    <row r="69" spans="3:14" ht="15" customHeight="1" x14ac:dyDescent="0.3">
      <c r="C69" s="41" t="s">
        <v>140</v>
      </c>
      <c r="D69" s="55" t="s">
        <v>141</v>
      </c>
      <c r="E69" s="44"/>
      <c r="F69" s="66"/>
      <c r="G69" s="66"/>
      <c r="H69" s="66"/>
      <c r="I69" s="66"/>
      <c r="J69" s="66"/>
      <c r="K69" s="45"/>
      <c r="L69" s="45">
        <v>20000</v>
      </c>
      <c r="M69" s="4"/>
      <c r="N69" s="45"/>
    </row>
    <row r="70" spans="3:14" ht="15" customHeight="1" x14ac:dyDescent="0.3">
      <c r="C70" s="41" t="s">
        <v>142</v>
      </c>
      <c r="D70" s="55" t="s">
        <v>143</v>
      </c>
      <c r="E70" s="44"/>
      <c r="F70" s="66"/>
      <c r="G70" s="66"/>
      <c r="H70" s="66"/>
      <c r="I70" s="66"/>
      <c r="J70" s="66"/>
      <c r="K70" s="45"/>
      <c r="L70" s="45">
        <v>15000</v>
      </c>
      <c r="M70" s="4"/>
      <c r="N70" s="45"/>
    </row>
    <row r="71" spans="3:14" ht="15" customHeight="1" x14ac:dyDescent="0.3">
      <c r="C71" s="41" t="s">
        <v>144</v>
      </c>
      <c r="D71" s="55" t="s">
        <v>145</v>
      </c>
      <c r="E71" s="44"/>
      <c r="F71" s="66"/>
      <c r="G71" s="66"/>
      <c r="H71" s="66"/>
      <c r="I71" s="66"/>
      <c r="J71" s="66"/>
      <c r="K71" s="45"/>
      <c r="L71" s="45">
        <v>5000</v>
      </c>
      <c r="M71" s="4"/>
      <c r="N71" s="45"/>
    </row>
    <row r="72" spans="3:14" ht="15" customHeight="1" x14ac:dyDescent="0.3">
      <c r="C72" s="41" t="s">
        <v>146</v>
      </c>
      <c r="D72" s="55" t="s">
        <v>147</v>
      </c>
      <c r="E72" s="44"/>
      <c r="F72" s="66"/>
      <c r="G72" s="66"/>
      <c r="H72" s="66"/>
      <c r="I72" s="66"/>
      <c r="J72" s="66"/>
      <c r="K72" s="45"/>
      <c r="L72" s="45">
        <v>3000</v>
      </c>
      <c r="M72" s="4"/>
      <c r="N72" s="45"/>
    </row>
    <row r="73" spans="3:14" ht="15" customHeight="1" x14ac:dyDescent="0.3">
      <c r="C73" s="41" t="s">
        <v>148</v>
      </c>
      <c r="D73" s="55" t="s">
        <v>149</v>
      </c>
      <c r="E73" s="44"/>
      <c r="F73" s="66"/>
      <c r="G73" s="66"/>
      <c r="H73" s="66"/>
      <c r="I73" s="66"/>
      <c r="J73" s="66"/>
      <c r="K73" s="45"/>
      <c r="L73" s="45">
        <v>25000</v>
      </c>
      <c r="M73" s="4"/>
      <c r="N73" s="45"/>
    </row>
    <row r="74" spans="3:14" ht="15" customHeight="1" x14ac:dyDescent="0.3">
      <c r="C74" s="41" t="s">
        <v>150</v>
      </c>
      <c r="D74" s="55" t="s">
        <v>151</v>
      </c>
      <c r="E74" s="44"/>
      <c r="F74" s="66"/>
      <c r="G74" s="66"/>
      <c r="H74" s="66"/>
      <c r="I74" s="66"/>
      <c r="J74" s="66"/>
      <c r="K74" s="45"/>
      <c r="L74" s="45">
        <v>22500</v>
      </c>
      <c r="M74" s="4"/>
      <c r="N74" s="45"/>
    </row>
    <row r="75" spans="3:14" ht="15" customHeight="1" x14ac:dyDescent="0.3">
      <c r="C75" s="41" t="s">
        <v>152</v>
      </c>
      <c r="D75" s="55" t="s">
        <v>153</v>
      </c>
      <c r="E75" s="44"/>
      <c r="F75" s="66"/>
      <c r="G75" s="66"/>
      <c r="H75" s="66"/>
      <c r="I75" s="66"/>
      <c r="J75" s="66"/>
      <c r="K75" s="45"/>
      <c r="L75" s="45">
        <v>8000</v>
      </c>
      <c r="M75" s="4"/>
      <c r="N75" s="45"/>
    </row>
    <row r="76" spans="3:14" ht="15" customHeight="1" x14ac:dyDescent="0.3">
      <c r="C76" s="41" t="s">
        <v>154</v>
      </c>
      <c r="D76" s="55" t="s">
        <v>155</v>
      </c>
      <c r="E76" s="44"/>
      <c r="F76" s="66"/>
      <c r="G76" s="66"/>
      <c r="H76" s="66"/>
      <c r="I76" s="66"/>
      <c r="J76" s="66"/>
      <c r="K76" s="45"/>
      <c r="L76" s="45">
        <v>5000</v>
      </c>
      <c r="M76" s="4"/>
      <c r="N76" s="45"/>
    </row>
    <row r="77" spans="3:14" ht="15" customHeight="1" x14ac:dyDescent="0.3">
      <c r="C77" s="41" t="s">
        <v>156</v>
      </c>
      <c r="D77" s="55" t="s">
        <v>157</v>
      </c>
      <c r="E77" s="44"/>
      <c r="F77" s="66"/>
      <c r="G77" s="66"/>
      <c r="H77" s="66"/>
      <c r="I77" s="66"/>
      <c r="J77" s="66"/>
      <c r="K77" s="45"/>
      <c r="L77" s="45">
        <v>8000</v>
      </c>
      <c r="M77" s="4"/>
      <c r="N77" s="45"/>
    </row>
    <row r="78" spans="3:14" ht="15" customHeight="1" x14ac:dyDescent="0.3">
      <c r="C78" s="41" t="s">
        <v>158</v>
      </c>
      <c r="D78" s="55" t="s">
        <v>159</v>
      </c>
      <c r="E78" s="44"/>
      <c r="F78" s="66"/>
      <c r="G78" s="66"/>
      <c r="H78" s="66"/>
      <c r="I78" s="66"/>
      <c r="J78" s="66"/>
      <c r="K78" s="45"/>
      <c r="L78" s="45">
        <v>12500</v>
      </c>
      <c r="M78" s="4"/>
      <c r="N78" s="45"/>
    </row>
    <row r="79" spans="3:14" ht="15" customHeight="1" x14ac:dyDescent="0.3">
      <c r="C79" s="41" t="s">
        <v>161</v>
      </c>
      <c r="D79" s="55" t="s">
        <v>162</v>
      </c>
      <c r="E79" s="44"/>
      <c r="F79" s="66"/>
      <c r="G79" s="66"/>
      <c r="H79" s="66"/>
      <c r="I79" s="66"/>
      <c r="J79" s="66"/>
      <c r="K79" s="45"/>
      <c r="L79" s="45">
        <v>25000</v>
      </c>
      <c r="M79" s="4"/>
      <c r="N79" s="45"/>
    </row>
    <row r="80" spans="3:14" ht="15" customHeight="1" x14ac:dyDescent="0.3">
      <c r="C80" s="41" t="s">
        <v>163</v>
      </c>
      <c r="D80" s="55" t="s">
        <v>164</v>
      </c>
      <c r="E80" s="44"/>
      <c r="F80" s="66"/>
      <c r="G80" s="66"/>
      <c r="H80" s="66"/>
      <c r="I80" s="66"/>
      <c r="J80" s="66"/>
      <c r="K80" s="45"/>
      <c r="L80" s="45">
        <v>5000</v>
      </c>
      <c r="M80" s="4"/>
      <c r="N80" s="45"/>
    </row>
    <row r="81" spans="3:14" ht="15" customHeight="1" x14ac:dyDescent="0.3">
      <c r="C81" s="41" t="s">
        <v>165</v>
      </c>
      <c r="D81" s="157" t="s">
        <v>166</v>
      </c>
      <c r="E81" s="163"/>
      <c r="F81" s="164"/>
      <c r="G81" s="164"/>
      <c r="H81" s="164"/>
      <c r="I81" s="164"/>
      <c r="J81" s="164"/>
      <c r="K81" s="158"/>
      <c r="L81" s="158">
        <v>70000</v>
      </c>
      <c r="M81" s="4"/>
      <c r="N81" s="45"/>
    </row>
    <row r="82" spans="3:14" ht="15" customHeight="1" x14ac:dyDescent="0.3">
      <c r="C82" s="41" t="s">
        <v>167</v>
      </c>
      <c r="D82" s="55" t="s">
        <v>168</v>
      </c>
      <c r="E82" s="44"/>
      <c r="F82" s="66"/>
      <c r="G82" s="66"/>
      <c r="H82" s="66"/>
      <c r="I82" s="66"/>
      <c r="J82" s="66"/>
      <c r="K82" s="45"/>
      <c r="L82" s="45">
        <v>11000</v>
      </c>
      <c r="M82" s="4"/>
      <c r="N82" s="45"/>
    </row>
    <row r="83" spans="3:14" ht="15" customHeight="1" x14ac:dyDescent="0.3">
      <c r="C83" s="41" t="s">
        <v>169</v>
      </c>
      <c r="D83" s="55" t="s">
        <v>171</v>
      </c>
      <c r="E83" s="44"/>
      <c r="F83" s="66"/>
      <c r="G83" s="66"/>
      <c r="H83" s="66"/>
      <c r="I83" s="66"/>
      <c r="J83" s="66"/>
      <c r="K83" s="45"/>
      <c r="L83" s="45">
        <f>(154500+23000+4000+2000)/12</f>
        <v>15291.666666666666</v>
      </c>
      <c r="M83" s="4"/>
      <c r="N83" s="45"/>
    </row>
    <row r="84" spans="3:14" ht="15" customHeight="1" x14ac:dyDescent="0.3">
      <c r="C84" s="41" t="s">
        <v>170</v>
      </c>
      <c r="D84" s="55" t="s">
        <v>193</v>
      </c>
      <c r="E84" s="44"/>
      <c r="F84" s="66"/>
      <c r="G84" s="66"/>
      <c r="H84" s="66"/>
      <c r="I84" s="66"/>
      <c r="J84" s="66"/>
      <c r="K84" s="45"/>
      <c r="L84" s="45">
        <f>3200+3500</f>
        <v>6700</v>
      </c>
      <c r="M84" s="4"/>
      <c r="N84" s="45"/>
    </row>
    <row r="85" spans="3:14" ht="15" customHeight="1" x14ac:dyDescent="0.3">
      <c r="C85" s="41" t="s">
        <v>172</v>
      </c>
      <c r="D85" s="55" t="s">
        <v>173</v>
      </c>
      <c r="E85" s="44"/>
      <c r="F85" s="66"/>
      <c r="G85" s="66"/>
      <c r="H85" s="66"/>
      <c r="I85" s="66"/>
      <c r="J85" s="66"/>
      <c r="K85" s="45"/>
      <c r="L85" s="45">
        <v>3200</v>
      </c>
      <c r="M85" s="4"/>
      <c r="N85" s="45"/>
    </row>
    <row r="86" spans="3:14" ht="15" customHeight="1" x14ac:dyDescent="0.3">
      <c r="C86" s="41" t="s">
        <v>174</v>
      </c>
      <c r="D86" s="55" t="s">
        <v>175</v>
      </c>
      <c r="E86" s="44"/>
      <c r="F86" s="66"/>
      <c r="G86" s="66"/>
      <c r="H86" s="66"/>
      <c r="I86" s="66"/>
      <c r="J86" s="66"/>
      <c r="K86" s="45"/>
      <c r="L86" s="45">
        <v>20500</v>
      </c>
      <c r="M86" s="4"/>
      <c r="N86" s="45"/>
    </row>
    <row r="87" spans="3:14" ht="15" customHeight="1" x14ac:dyDescent="0.3">
      <c r="C87" s="41" t="s">
        <v>176</v>
      </c>
      <c r="D87" s="55" t="s">
        <v>177</v>
      </c>
      <c r="E87" s="44"/>
      <c r="F87" s="66"/>
      <c r="G87" s="66"/>
      <c r="H87" s="66"/>
      <c r="I87" s="66"/>
      <c r="J87" s="66"/>
      <c r="K87" s="45"/>
      <c r="L87" s="45">
        <v>17600</v>
      </c>
      <c r="M87" s="4"/>
      <c r="N87" s="45"/>
    </row>
    <row r="88" spans="3:14" ht="15" customHeight="1" x14ac:dyDescent="0.3">
      <c r="C88" s="41" t="s">
        <v>178</v>
      </c>
      <c r="D88" s="55" t="s">
        <v>179</v>
      </c>
      <c r="E88" s="44"/>
      <c r="F88" s="66"/>
      <c r="G88" s="66"/>
      <c r="H88" s="66"/>
      <c r="I88" s="66"/>
      <c r="J88" s="66"/>
      <c r="K88" s="45"/>
      <c r="L88" s="45">
        <f>28500</f>
        <v>28500</v>
      </c>
      <c r="M88" s="4"/>
      <c r="N88" s="45"/>
    </row>
    <row r="89" spans="3:14" ht="15" customHeight="1" x14ac:dyDescent="0.3">
      <c r="C89" s="41" t="s">
        <v>180</v>
      </c>
      <c r="D89" s="55" t="s">
        <v>181</v>
      </c>
      <c r="E89" s="44"/>
      <c r="F89" s="66"/>
      <c r="G89" s="66"/>
      <c r="H89" s="66"/>
      <c r="I89" s="66"/>
      <c r="J89" s="66"/>
      <c r="K89" s="45"/>
      <c r="L89" s="45">
        <v>1000</v>
      </c>
      <c r="M89" s="4"/>
      <c r="N89" s="45"/>
    </row>
    <row r="90" spans="3:14" ht="15" customHeight="1" x14ac:dyDescent="0.3">
      <c r="C90" s="41" t="s">
        <v>182</v>
      </c>
      <c r="D90" s="55" t="s">
        <v>183</v>
      </c>
      <c r="E90" s="44"/>
      <c r="F90" s="66"/>
      <c r="G90" s="66"/>
      <c r="H90" s="66"/>
      <c r="I90" s="66"/>
      <c r="J90" s="66"/>
      <c r="K90" s="45"/>
      <c r="L90" s="45">
        <v>5000</v>
      </c>
      <c r="M90" s="4"/>
      <c r="N90" s="45"/>
    </row>
    <row r="91" spans="3:14" ht="15" customHeight="1" x14ac:dyDescent="0.3">
      <c r="C91" s="41" t="s">
        <v>184</v>
      </c>
      <c r="D91" s="55" t="s">
        <v>192</v>
      </c>
      <c r="E91" s="44"/>
      <c r="F91" s="66"/>
      <c r="G91" s="66"/>
      <c r="H91" s="66"/>
      <c r="I91" s="66"/>
      <c r="J91" s="66"/>
      <c r="K91" s="45"/>
      <c r="L91" s="45">
        <v>3000</v>
      </c>
      <c r="M91" s="4"/>
      <c r="N91" s="45"/>
    </row>
    <row r="92" spans="3:14" ht="15" customHeight="1" x14ac:dyDescent="0.3">
      <c r="C92" s="41" t="s">
        <v>185</v>
      </c>
      <c r="D92" s="55" t="s">
        <v>187</v>
      </c>
      <c r="E92" s="44"/>
      <c r="F92" s="66"/>
      <c r="G92" s="66"/>
      <c r="H92" s="66"/>
      <c r="I92" s="66"/>
      <c r="J92" s="66"/>
      <c r="K92" s="45"/>
      <c r="L92" s="45"/>
      <c r="M92" s="4"/>
      <c r="N92" s="45"/>
    </row>
    <row r="93" spans="3:14" ht="15" customHeight="1" x14ac:dyDescent="0.3">
      <c r="C93" s="41" t="s">
        <v>186</v>
      </c>
      <c r="D93" s="55" t="s">
        <v>188</v>
      </c>
      <c r="E93" s="44"/>
      <c r="F93" s="66"/>
      <c r="G93" s="66"/>
      <c r="H93" s="66"/>
      <c r="I93" s="66"/>
      <c r="J93" s="66"/>
      <c r="K93" s="45"/>
      <c r="L93" s="45">
        <v>5000</v>
      </c>
      <c r="M93" s="4"/>
      <c r="N93" s="45"/>
    </row>
    <row r="94" spans="3:14" ht="15" customHeight="1" x14ac:dyDescent="0.3">
      <c r="C94" s="41">
        <f>+C46+1</f>
        <v>9</v>
      </c>
      <c r="D94" s="55" t="s">
        <v>75</v>
      </c>
      <c r="E94" s="44"/>
      <c r="F94" s="66" t="s">
        <v>66</v>
      </c>
      <c r="G94" s="66"/>
      <c r="H94" s="66"/>
      <c r="I94" s="66"/>
      <c r="J94" s="66"/>
      <c r="K94" s="45"/>
      <c r="L94" s="45">
        <v>1000</v>
      </c>
      <c r="M94" s="4"/>
      <c r="N94" s="45"/>
    </row>
    <row r="95" spans="3:14" ht="15" customHeight="1" x14ac:dyDescent="0.3">
      <c r="C95" s="176" t="s">
        <v>17</v>
      </c>
      <c r="D95" s="177"/>
      <c r="E95" s="35"/>
      <c r="F95" s="178"/>
      <c r="G95" s="178"/>
      <c r="H95" s="178"/>
      <c r="I95" s="178"/>
      <c r="J95" s="178"/>
      <c r="K95" s="178"/>
      <c r="L95" s="62">
        <f>SUM(L39:L94)</f>
        <v>1092438.6666666665</v>
      </c>
      <c r="M95" s="53"/>
    </row>
    <row r="96" spans="3:14" s="47" customFormat="1" ht="15.6" x14ac:dyDescent="0.3">
      <c r="C96" s="179" t="s">
        <v>26</v>
      </c>
      <c r="D96" s="180"/>
      <c r="E96" s="56"/>
      <c r="F96" s="181"/>
      <c r="G96" s="181"/>
      <c r="H96" s="181"/>
      <c r="I96" s="181"/>
      <c r="J96" s="181"/>
      <c r="K96" s="181"/>
      <c r="L96" s="57">
        <f>+L95+L37+L30+L26+L21+L14</f>
        <v>3023679.6666666665</v>
      </c>
      <c r="M96" s="58"/>
    </row>
    <row r="97" spans="3:16" s="48" customFormat="1" ht="18" x14ac:dyDescent="0.3">
      <c r="C97" s="182" t="s">
        <v>27</v>
      </c>
      <c r="D97" s="183"/>
      <c r="E97" s="59" t="s">
        <v>197</v>
      </c>
      <c r="F97" s="159"/>
      <c r="G97" s="159"/>
      <c r="H97" s="159"/>
      <c r="I97" s="159"/>
      <c r="J97" s="159"/>
      <c r="K97" s="159"/>
      <c r="L97" s="116">
        <f>L103*0.08</f>
        <v>83221.759999999995</v>
      </c>
      <c r="M97" s="149"/>
      <c r="P97" s="31"/>
    </row>
    <row r="98" spans="3:16" s="48" customFormat="1" ht="18" x14ac:dyDescent="0.3">
      <c r="C98" s="182" t="s">
        <v>189</v>
      </c>
      <c r="D98" s="183"/>
      <c r="E98" s="59"/>
      <c r="F98" s="159"/>
      <c r="G98" s="159"/>
      <c r="H98" s="159"/>
      <c r="I98" s="159"/>
      <c r="J98" s="159"/>
      <c r="K98" s="159"/>
      <c r="L98" s="116">
        <v>-159000</v>
      </c>
      <c r="M98" s="149"/>
      <c r="P98" s="137"/>
    </row>
    <row r="99" spans="3:16" s="48" customFormat="1" ht="18" x14ac:dyDescent="0.3">
      <c r="C99" s="182" t="s">
        <v>190</v>
      </c>
      <c r="D99" s="183"/>
      <c r="E99" s="59"/>
      <c r="F99" s="159"/>
      <c r="G99" s="159"/>
      <c r="H99" s="159"/>
      <c r="I99" s="159"/>
      <c r="J99" s="159"/>
      <c r="K99" s="159"/>
      <c r="L99" s="116">
        <v>-81000</v>
      </c>
      <c r="M99" s="149"/>
    </row>
    <row r="100" spans="3:16" s="48" customFormat="1" ht="18" x14ac:dyDescent="0.3">
      <c r="C100" s="153"/>
      <c r="D100" s="154" t="s">
        <v>195</v>
      </c>
      <c r="E100" s="59"/>
      <c r="F100" s="159"/>
      <c r="G100" s="159"/>
      <c r="H100" s="159"/>
      <c r="I100" s="159"/>
      <c r="J100" s="159"/>
      <c r="K100" s="159"/>
      <c r="L100" s="116">
        <f>(L96-L81+L97)*18%</f>
        <v>546642.25679999986</v>
      </c>
      <c r="M100" s="167" t="str">
        <f>K104</f>
        <v>CAM with GST PM</v>
      </c>
    </row>
    <row r="101" spans="3:16" s="31" customFormat="1" ht="15" customHeight="1" x14ac:dyDescent="0.3">
      <c r="C101" s="174" t="s">
        <v>28</v>
      </c>
      <c r="D101" s="175"/>
      <c r="E101" s="23"/>
      <c r="F101" s="160"/>
      <c r="G101" s="160"/>
      <c r="H101" s="160"/>
      <c r="I101" s="160"/>
      <c r="J101" s="160"/>
      <c r="K101" s="160"/>
      <c r="L101" s="68">
        <f>SUM(L96:L100)</f>
        <v>3413543.6834666664</v>
      </c>
      <c r="M101" s="168">
        <f>L104</f>
        <v>3.2813953307083787</v>
      </c>
    </row>
    <row r="102" spans="3:16" ht="13.8" customHeight="1" x14ac:dyDescent="0.3">
      <c r="G102" s="173"/>
      <c r="H102" s="173"/>
      <c r="I102" s="173"/>
      <c r="J102" s="173"/>
      <c r="K102" s="173"/>
      <c r="L102" s="2">
        <f>N102*18%*0</f>
        <v>0</v>
      </c>
      <c r="M102" s="150"/>
      <c r="N102" s="137"/>
    </row>
    <row r="103" spans="3:16" x14ac:dyDescent="0.3">
      <c r="C103" s="117"/>
      <c r="K103" s="151" t="s">
        <v>99</v>
      </c>
      <c r="L103" s="2">
        <v>1040272</v>
      </c>
      <c r="M103" s="141"/>
    </row>
    <row r="104" spans="3:16" x14ac:dyDescent="0.3">
      <c r="C104" s="118"/>
      <c r="J104" s="161"/>
      <c r="K104" s="162" t="s">
        <v>194</v>
      </c>
      <c r="L104" s="166">
        <f>(L101+L102)/L103</f>
        <v>3.2813953307083787</v>
      </c>
      <c r="M104" s="141"/>
    </row>
    <row r="105" spans="3:16" x14ac:dyDescent="0.3">
      <c r="C105" s="118"/>
    </row>
    <row r="106" spans="3:16" x14ac:dyDescent="0.3">
      <c r="C106" s="118"/>
    </row>
    <row r="107" spans="3:16" x14ac:dyDescent="0.3">
      <c r="C107" s="118"/>
    </row>
    <row r="108" spans="3:16" x14ac:dyDescent="0.3">
      <c r="C108" s="118"/>
    </row>
    <row r="109" spans="3:16" x14ac:dyDescent="0.3">
      <c r="C109" s="118"/>
    </row>
    <row r="110" spans="3:16" x14ac:dyDescent="0.3">
      <c r="C110" s="118"/>
      <c r="L110" s="165"/>
    </row>
    <row r="111" spans="3:16" x14ac:dyDescent="0.3">
      <c r="C111" s="118"/>
      <c r="L111" s="165"/>
    </row>
    <row r="112" spans="3:16" x14ac:dyDescent="0.3">
      <c r="C112" s="118"/>
    </row>
    <row r="113" spans="3:10" ht="14.4" x14ac:dyDescent="0.3">
      <c r="C113" s="73"/>
    </row>
    <row r="118" spans="3:10" x14ac:dyDescent="0.3">
      <c r="J118" s="67">
        <v>3.3</v>
      </c>
    </row>
    <row r="119" spans="3:10" x14ac:dyDescent="0.3">
      <c r="J119" s="67">
        <v>0.45</v>
      </c>
    </row>
    <row r="120" spans="3:10" x14ac:dyDescent="0.3">
      <c r="J120" s="67">
        <v>0.14000000000000001</v>
      </c>
    </row>
    <row r="121" spans="3:10" x14ac:dyDescent="0.3">
      <c r="J121" s="67">
        <f>SUM(J118:J120)</f>
        <v>3.89</v>
      </c>
    </row>
    <row r="122" spans="3:10" x14ac:dyDescent="0.3">
      <c r="J122" s="67">
        <v>7500</v>
      </c>
    </row>
    <row r="123" spans="3:10" x14ac:dyDescent="0.3">
      <c r="J123" s="67">
        <f>J122/J121</f>
        <v>1928.0205655526991</v>
      </c>
    </row>
  </sheetData>
  <mergeCells count="16">
    <mergeCell ref="G102:K102"/>
    <mergeCell ref="C101:D101"/>
    <mergeCell ref="C95:D95"/>
    <mergeCell ref="F95:K95"/>
    <mergeCell ref="C96:D96"/>
    <mergeCell ref="F96:K96"/>
    <mergeCell ref="C97:D97"/>
    <mergeCell ref="C98:D98"/>
    <mergeCell ref="C99:D99"/>
    <mergeCell ref="C30:D30"/>
    <mergeCell ref="C37:D37"/>
    <mergeCell ref="D1:E1"/>
    <mergeCell ref="F5:K5"/>
    <mergeCell ref="C14:D14"/>
    <mergeCell ref="C21:D21"/>
    <mergeCell ref="C26:D26"/>
  </mergeCells>
  <pageMargins left="0.7" right="0.7" top="0.75" bottom="0.75" header="0.3" footer="0.3"/>
  <pageSetup paperSize="9" scale="80" fitToHeight="0" orientation="landscape" r:id="rId1"/>
  <rowBreaks count="3" manualBreakCount="3">
    <brk id="37" max="12" man="1"/>
    <brk id="81" max="12" man="1"/>
    <brk id="101" max="12" man="1"/>
  </rowBreaks>
  <ignoredErrors>
    <ignoredError sqref="K11:K12 K7:K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F9"/>
  <sheetViews>
    <sheetView zoomScale="181" workbookViewId="0">
      <selection activeCell="F9" sqref="F9"/>
    </sheetView>
  </sheetViews>
  <sheetFormatPr defaultRowHeight="14.4" x14ac:dyDescent="0.3"/>
  <cols>
    <col min="3" max="3" width="26.6640625" customWidth="1"/>
    <col min="4" max="4" width="12.88671875" customWidth="1"/>
    <col min="5" max="5" width="13.21875" customWidth="1"/>
  </cols>
  <sheetData>
    <row r="3" spans="3:6" x14ac:dyDescent="0.3">
      <c r="C3" s="143" t="s">
        <v>100</v>
      </c>
      <c r="D3" s="143" t="s">
        <v>104</v>
      </c>
      <c r="E3" s="143" t="s">
        <v>106</v>
      </c>
      <c r="F3" s="143" t="s">
        <v>101</v>
      </c>
    </row>
    <row r="4" spans="3:6" x14ac:dyDescent="0.3">
      <c r="C4" s="144" t="s">
        <v>103</v>
      </c>
      <c r="D4" s="145">
        <v>3</v>
      </c>
      <c r="E4" s="145"/>
      <c r="F4" s="146">
        <f>SUM(D4:E4)</f>
        <v>3</v>
      </c>
    </row>
    <row r="5" spans="3:6" x14ac:dyDescent="0.3">
      <c r="C5" s="144" t="s">
        <v>105</v>
      </c>
      <c r="D5" s="145">
        <v>5</v>
      </c>
      <c r="E5" s="145"/>
      <c r="F5" s="146">
        <f>SUM(D5:E5)</f>
        <v>5</v>
      </c>
    </row>
    <row r="6" spans="3:6" x14ac:dyDescent="0.3">
      <c r="C6" s="144" t="s">
        <v>107</v>
      </c>
      <c r="D6" s="145">
        <v>4</v>
      </c>
      <c r="E6" s="145">
        <v>1</v>
      </c>
      <c r="F6" s="146">
        <f>SUM(D6:E6)</f>
        <v>5</v>
      </c>
    </row>
    <row r="7" spans="3:6" x14ac:dyDescent="0.3">
      <c r="C7" s="144" t="s">
        <v>109</v>
      </c>
      <c r="D7" s="145">
        <v>1</v>
      </c>
      <c r="E7" s="145"/>
      <c r="F7" s="146">
        <f t="shared" ref="F7:F8" si="0">SUM(D7:E7)</f>
        <v>1</v>
      </c>
    </row>
    <row r="8" spans="3:6" x14ac:dyDescent="0.3">
      <c r="C8" s="144" t="s">
        <v>108</v>
      </c>
      <c r="D8" s="145">
        <v>3</v>
      </c>
      <c r="E8" s="145">
        <v>1</v>
      </c>
      <c r="F8" s="146">
        <f t="shared" si="0"/>
        <v>4</v>
      </c>
    </row>
    <row r="9" spans="3:6" x14ac:dyDescent="0.3">
      <c r="C9" s="147" t="s">
        <v>102</v>
      </c>
      <c r="D9" s="148">
        <f>SUM(D4:D8)</f>
        <v>16</v>
      </c>
      <c r="E9" s="148">
        <f>SUM(E4:E8)</f>
        <v>2</v>
      </c>
      <c r="F9" s="148">
        <f>SUM(F4:F8)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2"/>
  <sheetViews>
    <sheetView topLeftCell="B1" zoomScale="85" zoomScaleNormal="105" workbookViewId="0">
      <selection activeCell="L22" sqref="L22"/>
    </sheetView>
  </sheetViews>
  <sheetFormatPr defaultColWidth="13.21875" defaultRowHeight="14.4" x14ac:dyDescent="0.3"/>
  <cols>
    <col min="1" max="1" width="3.21875" customWidth="1"/>
    <col min="2" max="2" width="43.77734375" bestFit="1" customWidth="1"/>
    <col min="3" max="3" width="7.77734375" customWidth="1"/>
    <col min="4" max="6" width="11.5546875" customWidth="1"/>
    <col min="7" max="7" width="13.21875" customWidth="1"/>
    <col min="8" max="16" width="11.5546875" customWidth="1"/>
    <col min="17" max="18" width="11.77734375" customWidth="1"/>
    <col min="19" max="19" width="12.5546875" customWidth="1"/>
    <col min="260" max="261" width="13.21875" customWidth="1"/>
    <col min="262" max="262" width="35.5546875" bestFit="1" customWidth="1"/>
    <col min="263" max="263" width="10.21875" bestFit="1" customWidth="1"/>
    <col min="264" max="264" width="10.44140625" bestFit="1" customWidth="1"/>
    <col min="265" max="265" width="13.21875" customWidth="1"/>
    <col min="266" max="266" width="10" bestFit="1" customWidth="1"/>
    <col min="516" max="517" width="13.21875" customWidth="1"/>
    <col min="518" max="518" width="35.5546875" bestFit="1" customWidth="1"/>
    <col min="519" max="519" width="10.21875" bestFit="1" customWidth="1"/>
    <col min="520" max="520" width="10.44140625" bestFit="1" customWidth="1"/>
    <col min="521" max="521" width="13.21875" customWidth="1"/>
    <col min="522" max="522" width="10" bestFit="1" customWidth="1"/>
    <col min="772" max="773" width="13.21875" customWidth="1"/>
    <col min="774" max="774" width="35.5546875" bestFit="1" customWidth="1"/>
    <col min="775" max="775" width="10.21875" bestFit="1" customWidth="1"/>
    <col min="776" max="776" width="10.44140625" bestFit="1" customWidth="1"/>
    <col min="777" max="777" width="13.21875" customWidth="1"/>
    <col min="778" max="778" width="10" bestFit="1" customWidth="1"/>
    <col min="1028" max="1029" width="13.21875" customWidth="1"/>
    <col min="1030" max="1030" width="35.5546875" bestFit="1" customWidth="1"/>
    <col min="1031" max="1031" width="10.21875" bestFit="1" customWidth="1"/>
    <col min="1032" max="1032" width="10.44140625" bestFit="1" customWidth="1"/>
    <col min="1033" max="1033" width="13.21875" customWidth="1"/>
    <col min="1034" max="1034" width="10" bestFit="1" customWidth="1"/>
    <col min="1284" max="1285" width="13.21875" customWidth="1"/>
    <col min="1286" max="1286" width="35.5546875" bestFit="1" customWidth="1"/>
    <col min="1287" max="1287" width="10.21875" bestFit="1" customWidth="1"/>
    <col min="1288" max="1288" width="10.44140625" bestFit="1" customWidth="1"/>
    <col min="1289" max="1289" width="13.21875" customWidth="1"/>
    <col min="1290" max="1290" width="10" bestFit="1" customWidth="1"/>
    <col min="1540" max="1541" width="13.21875" customWidth="1"/>
    <col min="1542" max="1542" width="35.5546875" bestFit="1" customWidth="1"/>
    <col min="1543" max="1543" width="10.21875" bestFit="1" customWidth="1"/>
    <col min="1544" max="1544" width="10.44140625" bestFit="1" customWidth="1"/>
    <col min="1545" max="1545" width="13.21875" customWidth="1"/>
    <col min="1546" max="1546" width="10" bestFit="1" customWidth="1"/>
    <col min="1796" max="1797" width="13.21875" customWidth="1"/>
    <col min="1798" max="1798" width="35.5546875" bestFit="1" customWidth="1"/>
    <col min="1799" max="1799" width="10.21875" bestFit="1" customWidth="1"/>
    <col min="1800" max="1800" width="10.44140625" bestFit="1" customWidth="1"/>
    <col min="1801" max="1801" width="13.21875" customWidth="1"/>
    <col min="1802" max="1802" width="10" bestFit="1" customWidth="1"/>
    <col min="2052" max="2053" width="13.21875" customWidth="1"/>
    <col min="2054" max="2054" width="35.5546875" bestFit="1" customWidth="1"/>
    <col min="2055" max="2055" width="10.21875" bestFit="1" customWidth="1"/>
    <col min="2056" max="2056" width="10.44140625" bestFit="1" customWidth="1"/>
    <col min="2057" max="2057" width="13.21875" customWidth="1"/>
    <col min="2058" max="2058" width="10" bestFit="1" customWidth="1"/>
    <col min="2308" max="2309" width="13.21875" customWidth="1"/>
    <col min="2310" max="2310" width="35.5546875" bestFit="1" customWidth="1"/>
    <col min="2311" max="2311" width="10.21875" bestFit="1" customWidth="1"/>
    <col min="2312" max="2312" width="10.44140625" bestFit="1" customWidth="1"/>
    <col min="2313" max="2313" width="13.21875" customWidth="1"/>
    <col min="2314" max="2314" width="10" bestFit="1" customWidth="1"/>
    <col min="2564" max="2565" width="13.21875" customWidth="1"/>
    <col min="2566" max="2566" width="35.5546875" bestFit="1" customWidth="1"/>
    <col min="2567" max="2567" width="10.21875" bestFit="1" customWidth="1"/>
    <col min="2568" max="2568" width="10.44140625" bestFit="1" customWidth="1"/>
    <col min="2569" max="2569" width="13.21875" customWidth="1"/>
    <col min="2570" max="2570" width="10" bestFit="1" customWidth="1"/>
    <col min="2820" max="2821" width="13.21875" customWidth="1"/>
    <col min="2822" max="2822" width="35.5546875" bestFit="1" customWidth="1"/>
    <col min="2823" max="2823" width="10.21875" bestFit="1" customWidth="1"/>
    <col min="2824" max="2824" width="10.44140625" bestFit="1" customWidth="1"/>
    <col min="2825" max="2825" width="13.21875" customWidth="1"/>
    <col min="2826" max="2826" width="10" bestFit="1" customWidth="1"/>
    <col min="3076" max="3077" width="13.21875" customWidth="1"/>
    <col min="3078" max="3078" width="35.5546875" bestFit="1" customWidth="1"/>
    <col min="3079" max="3079" width="10.21875" bestFit="1" customWidth="1"/>
    <col min="3080" max="3080" width="10.44140625" bestFit="1" customWidth="1"/>
    <col min="3081" max="3081" width="13.21875" customWidth="1"/>
    <col min="3082" max="3082" width="10" bestFit="1" customWidth="1"/>
    <col min="3332" max="3333" width="13.21875" customWidth="1"/>
    <col min="3334" max="3334" width="35.5546875" bestFit="1" customWidth="1"/>
    <col min="3335" max="3335" width="10.21875" bestFit="1" customWidth="1"/>
    <col min="3336" max="3336" width="10.44140625" bestFit="1" customWidth="1"/>
    <col min="3337" max="3337" width="13.21875" customWidth="1"/>
    <col min="3338" max="3338" width="10" bestFit="1" customWidth="1"/>
    <col min="3588" max="3589" width="13.21875" customWidth="1"/>
    <col min="3590" max="3590" width="35.5546875" bestFit="1" customWidth="1"/>
    <col min="3591" max="3591" width="10.21875" bestFit="1" customWidth="1"/>
    <col min="3592" max="3592" width="10.44140625" bestFit="1" customWidth="1"/>
    <col min="3593" max="3593" width="13.21875" customWidth="1"/>
    <col min="3594" max="3594" width="10" bestFit="1" customWidth="1"/>
    <col min="3844" max="3845" width="13.21875" customWidth="1"/>
    <col min="3846" max="3846" width="35.5546875" bestFit="1" customWidth="1"/>
    <col min="3847" max="3847" width="10.21875" bestFit="1" customWidth="1"/>
    <col min="3848" max="3848" width="10.44140625" bestFit="1" customWidth="1"/>
    <col min="3849" max="3849" width="13.21875" customWidth="1"/>
    <col min="3850" max="3850" width="10" bestFit="1" customWidth="1"/>
    <col min="4100" max="4101" width="13.21875" customWidth="1"/>
    <col min="4102" max="4102" width="35.5546875" bestFit="1" customWidth="1"/>
    <col min="4103" max="4103" width="10.21875" bestFit="1" customWidth="1"/>
    <col min="4104" max="4104" width="10.44140625" bestFit="1" customWidth="1"/>
    <col min="4105" max="4105" width="13.21875" customWidth="1"/>
    <col min="4106" max="4106" width="10" bestFit="1" customWidth="1"/>
    <col min="4356" max="4357" width="13.21875" customWidth="1"/>
    <col min="4358" max="4358" width="35.5546875" bestFit="1" customWidth="1"/>
    <col min="4359" max="4359" width="10.21875" bestFit="1" customWidth="1"/>
    <col min="4360" max="4360" width="10.44140625" bestFit="1" customWidth="1"/>
    <col min="4361" max="4361" width="13.21875" customWidth="1"/>
    <col min="4362" max="4362" width="10" bestFit="1" customWidth="1"/>
    <col min="4612" max="4613" width="13.21875" customWidth="1"/>
    <col min="4614" max="4614" width="35.5546875" bestFit="1" customWidth="1"/>
    <col min="4615" max="4615" width="10.21875" bestFit="1" customWidth="1"/>
    <col min="4616" max="4616" width="10.44140625" bestFit="1" customWidth="1"/>
    <col min="4617" max="4617" width="13.21875" customWidth="1"/>
    <col min="4618" max="4618" width="10" bestFit="1" customWidth="1"/>
    <col min="4868" max="4869" width="13.21875" customWidth="1"/>
    <col min="4870" max="4870" width="35.5546875" bestFit="1" customWidth="1"/>
    <col min="4871" max="4871" width="10.21875" bestFit="1" customWidth="1"/>
    <col min="4872" max="4872" width="10.44140625" bestFit="1" customWidth="1"/>
    <col min="4873" max="4873" width="13.21875" customWidth="1"/>
    <col min="4874" max="4874" width="10" bestFit="1" customWidth="1"/>
    <col min="5124" max="5125" width="13.21875" customWidth="1"/>
    <col min="5126" max="5126" width="35.5546875" bestFit="1" customWidth="1"/>
    <col min="5127" max="5127" width="10.21875" bestFit="1" customWidth="1"/>
    <col min="5128" max="5128" width="10.44140625" bestFit="1" customWidth="1"/>
    <col min="5129" max="5129" width="13.21875" customWidth="1"/>
    <col min="5130" max="5130" width="10" bestFit="1" customWidth="1"/>
    <col min="5380" max="5381" width="13.21875" customWidth="1"/>
    <col min="5382" max="5382" width="35.5546875" bestFit="1" customWidth="1"/>
    <col min="5383" max="5383" width="10.21875" bestFit="1" customWidth="1"/>
    <col min="5384" max="5384" width="10.44140625" bestFit="1" customWidth="1"/>
    <col min="5385" max="5385" width="13.21875" customWidth="1"/>
    <col min="5386" max="5386" width="10" bestFit="1" customWidth="1"/>
    <col min="5636" max="5637" width="13.21875" customWidth="1"/>
    <col min="5638" max="5638" width="35.5546875" bestFit="1" customWidth="1"/>
    <col min="5639" max="5639" width="10.21875" bestFit="1" customWidth="1"/>
    <col min="5640" max="5640" width="10.44140625" bestFit="1" customWidth="1"/>
    <col min="5641" max="5641" width="13.21875" customWidth="1"/>
    <col min="5642" max="5642" width="10" bestFit="1" customWidth="1"/>
    <col min="5892" max="5893" width="13.21875" customWidth="1"/>
    <col min="5894" max="5894" width="35.5546875" bestFit="1" customWidth="1"/>
    <col min="5895" max="5895" width="10.21875" bestFit="1" customWidth="1"/>
    <col min="5896" max="5896" width="10.44140625" bestFit="1" customWidth="1"/>
    <col min="5897" max="5897" width="13.21875" customWidth="1"/>
    <col min="5898" max="5898" width="10" bestFit="1" customWidth="1"/>
    <col min="6148" max="6149" width="13.21875" customWidth="1"/>
    <col min="6150" max="6150" width="35.5546875" bestFit="1" customWidth="1"/>
    <col min="6151" max="6151" width="10.21875" bestFit="1" customWidth="1"/>
    <col min="6152" max="6152" width="10.44140625" bestFit="1" customWidth="1"/>
    <col min="6153" max="6153" width="13.21875" customWidth="1"/>
    <col min="6154" max="6154" width="10" bestFit="1" customWidth="1"/>
    <col min="6404" max="6405" width="13.21875" customWidth="1"/>
    <col min="6406" max="6406" width="35.5546875" bestFit="1" customWidth="1"/>
    <col min="6407" max="6407" width="10.21875" bestFit="1" customWidth="1"/>
    <col min="6408" max="6408" width="10.44140625" bestFit="1" customWidth="1"/>
    <col min="6409" max="6409" width="13.21875" customWidth="1"/>
    <col min="6410" max="6410" width="10" bestFit="1" customWidth="1"/>
    <col min="6660" max="6661" width="13.21875" customWidth="1"/>
    <col min="6662" max="6662" width="35.5546875" bestFit="1" customWidth="1"/>
    <col min="6663" max="6663" width="10.21875" bestFit="1" customWidth="1"/>
    <col min="6664" max="6664" width="10.44140625" bestFit="1" customWidth="1"/>
    <col min="6665" max="6665" width="13.21875" customWidth="1"/>
    <col min="6666" max="6666" width="10" bestFit="1" customWidth="1"/>
    <col min="6916" max="6917" width="13.21875" customWidth="1"/>
    <col min="6918" max="6918" width="35.5546875" bestFit="1" customWidth="1"/>
    <col min="6919" max="6919" width="10.21875" bestFit="1" customWidth="1"/>
    <col min="6920" max="6920" width="10.44140625" bestFit="1" customWidth="1"/>
    <col min="6921" max="6921" width="13.21875" customWidth="1"/>
    <col min="6922" max="6922" width="10" bestFit="1" customWidth="1"/>
    <col min="7172" max="7173" width="13.21875" customWidth="1"/>
    <col min="7174" max="7174" width="35.5546875" bestFit="1" customWidth="1"/>
    <col min="7175" max="7175" width="10.21875" bestFit="1" customWidth="1"/>
    <col min="7176" max="7176" width="10.44140625" bestFit="1" customWidth="1"/>
    <col min="7177" max="7177" width="13.21875" customWidth="1"/>
    <col min="7178" max="7178" width="10" bestFit="1" customWidth="1"/>
    <col min="7428" max="7429" width="13.21875" customWidth="1"/>
    <col min="7430" max="7430" width="35.5546875" bestFit="1" customWidth="1"/>
    <col min="7431" max="7431" width="10.21875" bestFit="1" customWidth="1"/>
    <col min="7432" max="7432" width="10.44140625" bestFit="1" customWidth="1"/>
    <col min="7433" max="7433" width="13.21875" customWidth="1"/>
    <col min="7434" max="7434" width="10" bestFit="1" customWidth="1"/>
    <col min="7684" max="7685" width="13.21875" customWidth="1"/>
    <col min="7686" max="7686" width="35.5546875" bestFit="1" customWidth="1"/>
    <col min="7687" max="7687" width="10.21875" bestFit="1" customWidth="1"/>
    <col min="7688" max="7688" width="10.44140625" bestFit="1" customWidth="1"/>
    <col min="7689" max="7689" width="13.21875" customWidth="1"/>
    <col min="7690" max="7690" width="10" bestFit="1" customWidth="1"/>
    <col min="7940" max="7941" width="13.21875" customWidth="1"/>
    <col min="7942" max="7942" width="35.5546875" bestFit="1" customWidth="1"/>
    <col min="7943" max="7943" width="10.21875" bestFit="1" customWidth="1"/>
    <col min="7944" max="7944" width="10.44140625" bestFit="1" customWidth="1"/>
    <col min="7945" max="7945" width="13.21875" customWidth="1"/>
    <col min="7946" max="7946" width="10" bestFit="1" customWidth="1"/>
    <col min="8196" max="8197" width="13.21875" customWidth="1"/>
    <col min="8198" max="8198" width="35.5546875" bestFit="1" customWidth="1"/>
    <col min="8199" max="8199" width="10.21875" bestFit="1" customWidth="1"/>
    <col min="8200" max="8200" width="10.44140625" bestFit="1" customWidth="1"/>
    <col min="8201" max="8201" width="13.21875" customWidth="1"/>
    <col min="8202" max="8202" width="10" bestFit="1" customWidth="1"/>
    <col min="8452" max="8453" width="13.21875" customWidth="1"/>
    <col min="8454" max="8454" width="35.5546875" bestFit="1" customWidth="1"/>
    <col min="8455" max="8455" width="10.21875" bestFit="1" customWidth="1"/>
    <col min="8456" max="8456" width="10.44140625" bestFit="1" customWidth="1"/>
    <col min="8457" max="8457" width="13.21875" customWidth="1"/>
    <col min="8458" max="8458" width="10" bestFit="1" customWidth="1"/>
    <col min="8708" max="8709" width="13.21875" customWidth="1"/>
    <col min="8710" max="8710" width="35.5546875" bestFit="1" customWidth="1"/>
    <col min="8711" max="8711" width="10.21875" bestFit="1" customWidth="1"/>
    <col min="8712" max="8712" width="10.44140625" bestFit="1" customWidth="1"/>
    <col min="8713" max="8713" width="13.21875" customWidth="1"/>
    <col min="8714" max="8714" width="10" bestFit="1" customWidth="1"/>
    <col min="8964" max="8965" width="13.21875" customWidth="1"/>
    <col min="8966" max="8966" width="35.5546875" bestFit="1" customWidth="1"/>
    <col min="8967" max="8967" width="10.21875" bestFit="1" customWidth="1"/>
    <col min="8968" max="8968" width="10.44140625" bestFit="1" customWidth="1"/>
    <col min="8969" max="8969" width="13.21875" customWidth="1"/>
    <col min="8970" max="8970" width="10" bestFit="1" customWidth="1"/>
    <col min="9220" max="9221" width="13.21875" customWidth="1"/>
    <col min="9222" max="9222" width="35.5546875" bestFit="1" customWidth="1"/>
    <col min="9223" max="9223" width="10.21875" bestFit="1" customWidth="1"/>
    <col min="9224" max="9224" width="10.44140625" bestFit="1" customWidth="1"/>
    <col min="9225" max="9225" width="13.21875" customWidth="1"/>
    <col min="9226" max="9226" width="10" bestFit="1" customWidth="1"/>
    <col min="9476" max="9477" width="13.21875" customWidth="1"/>
    <col min="9478" max="9478" width="35.5546875" bestFit="1" customWidth="1"/>
    <col min="9479" max="9479" width="10.21875" bestFit="1" customWidth="1"/>
    <col min="9480" max="9480" width="10.44140625" bestFit="1" customWidth="1"/>
    <col min="9481" max="9481" width="13.21875" customWidth="1"/>
    <col min="9482" max="9482" width="10" bestFit="1" customWidth="1"/>
    <col min="9732" max="9733" width="13.21875" customWidth="1"/>
    <col min="9734" max="9734" width="35.5546875" bestFit="1" customWidth="1"/>
    <col min="9735" max="9735" width="10.21875" bestFit="1" customWidth="1"/>
    <col min="9736" max="9736" width="10.44140625" bestFit="1" customWidth="1"/>
    <col min="9737" max="9737" width="13.21875" customWidth="1"/>
    <col min="9738" max="9738" width="10" bestFit="1" customWidth="1"/>
    <col min="9988" max="9989" width="13.21875" customWidth="1"/>
    <col min="9990" max="9990" width="35.5546875" bestFit="1" customWidth="1"/>
    <col min="9991" max="9991" width="10.21875" bestFit="1" customWidth="1"/>
    <col min="9992" max="9992" width="10.44140625" bestFit="1" customWidth="1"/>
    <col min="9993" max="9993" width="13.21875" customWidth="1"/>
    <col min="9994" max="9994" width="10" bestFit="1" customWidth="1"/>
    <col min="10244" max="10245" width="13.21875" customWidth="1"/>
    <col min="10246" max="10246" width="35.5546875" bestFit="1" customWidth="1"/>
    <col min="10247" max="10247" width="10.21875" bestFit="1" customWidth="1"/>
    <col min="10248" max="10248" width="10.44140625" bestFit="1" customWidth="1"/>
    <col min="10249" max="10249" width="13.21875" customWidth="1"/>
    <col min="10250" max="10250" width="10" bestFit="1" customWidth="1"/>
    <col min="10500" max="10501" width="13.21875" customWidth="1"/>
    <col min="10502" max="10502" width="35.5546875" bestFit="1" customWidth="1"/>
    <col min="10503" max="10503" width="10.21875" bestFit="1" customWidth="1"/>
    <col min="10504" max="10504" width="10.44140625" bestFit="1" customWidth="1"/>
    <col min="10505" max="10505" width="13.21875" customWidth="1"/>
    <col min="10506" max="10506" width="10" bestFit="1" customWidth="1"/>
    <col min="10756" max="10757" width="13.21875" customWidth="1"/>
    <col min="10758" max="10758" width="35.5546875" bestFit="1" customWidth="1"/>
    <col min="10759" max="10759" width="10.21875" bestFit="1" customWidth="1"/>
    <col min="10760" max="10760" width="10.44140625" bestFit="1" customWidth="1"/>
    <col min="10761" max="10761" width="13.21875" customWidth="1"/>
    <col min="10762" max="10762" width="10" bestFit="1" customWidth="1"/>
    <col min="11012" max="11013" width="13.21875" customWidth="1"/>
    <col min="11014" max="11014" width="35.5546875" bestFit="1" customWidth="1"/>
    <col min="11015" max="11015" width="10.21875" bestFit="1" customWidth="1"/>
    <col min="11016" max="11016" width="10.44140625" bestFit="1" customWidth="1"/>
    <col min="11017" max="11017" width="13.21875" customWidth="1"/>
    <col min="11018" max="11018" width="10" bestFit="1" customWidth="1"/>
    <col min="11268" max="11269" width="13.21875" customWidth="1"/>
    <col min="11270" max="11270" width="35.5546875" bestFit="1" customWidth="1"/>
    <col min="11271" max="11271" width="10.21875" bestFit="1" customWidth="1"/>
    <col min="11272" max="11272" width="10.44140625" bestFit="1" customWidth="1"/>
    <col min="11273" max="11273" width="13.21875" customWidth="1"/>
    <col min="11274" max="11274" width="10" bestFit="1" customWidth="1"/>
    <col min="11524" max="11525" width="13.21875" customWidth="1"/>
    <col min="11526" max="11526" width="35.5546875" bestFit="1" customWidth="1"/>
    <col min="11527" max="11527" width="10.21875" bestFit="1" customWidth="1"/>
    <col min="11528" max="11528" width="10.44140625" bestFit="1" customWidth="1"/>
    <col min="11529" max="11529" width="13.21875" customWidth="1"/>
    <col min="11530" max="11530" width="10" bestFit="1" customWidth="1"/>
    <col min="11780" max="11781" width="13.21875" customWidth="1"/>
    <col min="11782" max="11782" width="35.5546875" bestFit="1" customWidth="1"/>
    <col min="11783" max="11783" width="10.21875" bestFit="1" customWidth="1"/>
    <col min="11784" max="11784" width="10.44140625" bestFit="1" customWidth="1"/>
    <col min="11785" max="11785" width="13.21875" customWidth="1"/>
    <col min="11786" max="11786" width="10" bestFit="1" customWidth="1"/>
    <col min="12036" max="12037" width="13.21875" customWidth="1"/>
    <col min="12038" max="12038" width="35.5546875" bestFit="1" customWidth="1"/>
    <col min="12039" max="12039" width="10.21875" bestFit="1" customWidth="1"/>
    <col min="12040" max="12040" width="10.44140625" bestFit="1" customWidth="1"/>
    <col min="12041" max="12041" width="13.21875" customWidth="1"/>
    <col min="12042" max="12042" width="10" bestFit="1" customWidth="1"/>
    <col min="12292" max="12293" width="13.21875" customWidth="1"/>
    <col min="12294" max="12294" width="35.5546875" bestFit="1" customWidth="1"/>
    <col min="12295" max="12295" width="10.21875" bestFit="1" customWidth="1"/>
    <col min="12296" max="12296" width="10.44140625" bestFit="1" customWidth="1"/>
    <col min="12297" max="12297" width="13.21875" customWidth="1"/>
    <col min="12298" max="12298" width="10" bestFit="1" customWidth="1"/>
    <col min="12548" max="12549" width="13.21875" customWidth="1"/>
    <col min="12550" max="12550" width="35.5546875" bestFit="1" customWidth="1"/>
    <col min="12551" max="12551" width="10.21875" bestFit="1" customWidth="1"/>
    <col min="12552" max="12552" width="10.44140625" bestFit="1" customWidth="1"/>
    <col min="12553" max="12553" width="13.21875" customWidth="1"/>
    <col min="12554" max="12554" width="10" bestFit="1" customWidth="1"/>
    <col min="12804" max="12805" width="13.21875" customWidth="1"/>
    <col min="12806" max="12806" width="35.5546875" bestFit="1" customWidth="1"/>
    <col min="12807" max="12807" width="10.21875" bestFit="1" customWidth="1"/>
    <col min="12808" max="12808" width="10.44140625" bestFit="1" customWidth="1"/>
    <col min="12809" max="12809" width="13.21875" customWidth="1"/>
    <col min="12810" max="12810" width="10" bestFit="1" customWidth="1"/>
    <col min="13060" max="13061" width="13.21875" customWidth="1"/>
    <col min="13062" max="13062" width="35.5546875" bestFit="1" customWidth="1"/>
    <col min="13063" max="13063" width="10.21875" bestFit="1" customWidth="1"/>
    <col min="13064" max="13064" width="10.44140625" bestFit="1" customWidth="1"/>
    <col min="13065" max="13065" width="13.21875" customWidth="1"/>
    <col min="13066" max="13066" width="10" bestFit="1" customWidth="1"/>
    <col min="13316" max="13317" width="13.21875" customWidth="1"/>
    <col min="13318" max="13318" width="35.5546875" bestFit="1" customWidth="1"/>
    <col min="13319" max="13319" width="10.21875" bestFit="1" customWidth="1"/>
    <col min="13320" max="13320" width="10.44140625" bestFit="1" customWidth="1"/>
    <col min="13321" max="13321" width="13.21875" customWidth="1"/>
    <col min="13322" max="13322" width="10" bestFit="1" customWidth="1"/>
    <col min="13572" max="13573" width="13.21875" customWidth="1"/>
    <col min="13574" max="13574" width="35.5546875" bestFit="1" customWidth="1"/>
    <col min="13575" max="13575" width="10.21875" bestFit="1" customWidth="1"/>
    <col min="13576" max="13576" width="10.44140625" bestFit="1" customWidth="1"/>
    <col min="13577" max="13577" width="13.21875" customWidth="1"/>
    <col min="13578" max="13578" width="10" bestFit="1" customWidth="1"/>
    <col min="13828" max="13829" width="13.21875" customWidth="1"/>
    <col min="13830" max="13830" width="35.5546875" bestFit="1" customWidth="1"/>
    <col min="13831" max="13831" width="10.21875" bestFit="1" customWidth="1"/>
    <col min="13832" max="13832" width="10.44140625" bestFit="1" customWidth="1"/>
    <col min="13833" max="13833" width="13.21875" customWidth="1"/>
    <col min="13834" max="13834" width="10" bestFit="1" customWidth="1"/>
    <col min="14084" max="14085" width="13.21875" customWidth="1"/>
    <col min="14086" max="14086" width="35.5546875" bestFit="1" customWidth="1"/>
    <col min="14087" max="14087" width="10.21875" bestFit="1" customWidth="1"/>
    <col min="14088" max="14088" width="10.44140625" bestFit="1" customWidth="1"/>
    <col min="14089" max="14089" width="13.21875" customWidth="1"/>
    <col min="14090" max="14090" width="10" bestFit="1" customWidth="1"/>
    <col min="14340" max="14341" width="13.21875" customWidth="1"/>
    <col min="14342" max="14342" width="35.5546875" bestFit="1" customWidth="1"/>
    <col min="14343" max="14343" width="10.21875" bestFit="1" customWidth="1"/>
    <col min="14344" max="14344" width="10.44140625" bestFit="1" customWidth="1"/>
    <col min="14345" max="14345" width="13.21875" customWidth="1"/>
    <col min="14346" max="14346" width="10" bestFit="1" customWidth="1"/>
    <col min="14596" max="14597" width="13.21875" customWidth="1"/>
    <col min="14598" max="14598" width="35.5546875" bestFit="1" customWidth="1"/>
    <col min="14599" max="14599" width="10.21875" bestFit="1" customWidth="1"/>
    <col min="14600" max="14600" width="10.44140625" bestFit="1" customWidth="1"/>
    <col min="14601" max="14601" width="13.21875" customWidth="1"/>
    <col min="14602" max="14602" width="10" bestFit="1" customWidth="1"/>
    <col min="14852" max="14853" width="13.21875" customWidth="1"/>
    <col min="14854" max="14854" width="35.5546875" bestFit="1" customWidth="1"/>
    <col min="14855" max="14855" width="10.21875" bestFit="1" customWidth="1"/>
    <col min="14856" max="14856" width="10.44140625" bestFit="1" customWidth="1"/>
    <col min="14857" max="14857" width="13.21875" customWidth="1"/>
    <col min="14858" max="14858" width="10" bestFit="1" customWidth="1"/>
    <col min="15108" max="15109" width="13.21875" customWidth="1"/>
    <col min="15110" max="15110" width="35.5546875" bestFit="1" customWidth="1"/>
    <col min="15111" max="15111" width="10.21875" bestFit="1" customWidth="1"/>
    <col min="15112" max="15112" width="10.44140625" bestFit="1" customWidth="1"/>
    <col min="15113" max="15113" width="13.21875" customWidth="1"/>
    <col min="15114" max="15114" width="10" bestFit="1" customWidth="1"/>
    <col min="15364" max="15365" width="13.21875" customWidth="1"/>
    <col min="15366" max="15366" width="35.5546875" bestFit="1" customWidth="1"/>
    <col min="15367" max="15367" width="10.21875" bestFit="1" customWidth="1"/>
    <col min="15368" max="15368" width="10.44140625" bestFit="1" customWidth="1"/>
    <col min="15369" max="15369" width="13.21875" customWidth="1"/>
    <col min="15370" max="15370" width="10" bestFit="1" customWidth="1"/>
    <col min="15620" max="15621" width="13.21875" customWidth="1"/>
    <col min="15622" max="15622" width="35.5546875" bestFit="1" customWidth="1"/>
    <col min="15623" max="15623" width="10.21875" bestFit="1" customWidth="1"/>
    <col min="15624" max="15624" width="10.44140625" bestFit="1" customWidth="1"/>
    <col min="15625" max="15625" width="13.21875" customWidth="1"/>
    <col min="15626" max="15626" width="10" bestFit="1" customWidth="1"/>
    <col min="15876" max="15877" width="13.21875" customWidth="1"/>
    <col min="15878" max="15878" width="35.5546875" bestFit="1" customWidth="1"/>
    <col min="15879" max="15879" width="10.21875" bestFit="1" customWidth="1"/>
    <col min="15880" max="15880" width="10.44140625" bestFit="1" customWidth="1"/>
    <col min="15881" max="15881" width="13.21875" customWidth="1"/>
    <col min="15882" max="15882" width="10" bestFit="1" customWidth="1"/>
    <col min="16132" max="16133" width="13.21875" customWidth="1"/>
    <col min="16134" max="16134" width="35.5546875" bestFit="1" customWidth="1"/>
    <col min="16135" max="16135" width="10.21875" bestFit="1" customWidth="1"/>
    <col min="16136" max="16136" width="10.44140625" bestFit="1" customWidth="1"/>
    <col min="16137" max="16137" width="13.21875" customWidth="1"/>
    <col min="16138" max="16138" width="10" bestFit="1" customWidth="1"/>
  </cols>
  <sheetData>
    <row r="1" spans="1:19" ht="15" thickBot="1" x14ac:dyDescent="0.35">
      <c r="A1" s="73"/>
      <c r="B1" s="74"/>
      <c r="C1" s="74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19" ht="15" customHeight="1" thickBot="1" x14ac:dyDescent="0.35">
      <c r="A2" s="73"/>
      <c r="B2" s="184" t="s">
        <v>46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6"/>
    </row>
    <row r="3" spans="1:19" ht="29.4" thickBot="1" x14ac:dyDescent="0.35">
      <c r="A3" s="73"/>
      <c r="B3" s="75" t="s">
        <v>32</v>
      </c>
      <c r="C3" s="102"/>
      <c r="D3" s="76" t="s">
        <v>12</v>
      </c>
      <c r="E3" s="76" t="s">
        <v>47</v>
      </c>
      <c r="F3" s="76" t="s">
        <v>48</v>
      </c>
      <c r="G3" s="76" t="s">
        <v>49</v>
      </c>
      <c r="H3" s="76" t="s">
        <v>50</v>
      </c>
      <c r="I3" s="76" t="s">
        <v>89</v>
      </c>
      <c r="J3" s="76" t="s">
        <v>90</v>
      </c>
      <c r="K3" s="76" t="s">
        <v>91</v>
      </c>
      <c r="L3" s="77" t="s">
        <v>22</v>
      </c>
      <c r="M3" s="77" t="s">
        <v>83</v>
      </c>
      <c r="N3" s="77" t="s">
        <v>111</v>
      </c>
      <c r="O3" s="77" t="s">
        <v>51</v>
      </c>
      <c r="P3" s="77" t="s">
        <v>52</v>
      </c>
      <c r="Q3" s="77" t="s">
        <v>65</v>
      </c>
      <c r="R3" s="77" t="s">
        <v>82</v>
      </c>
      <c r="S3" s="120" t="s">
        <v>53</v>
      </c>
    </row>
    <row r="4" spans="1:19" ht="28.8" x14ac:dyDescent="0.3">
      <c r="A4" s="73"/>
      <c r="B4" s="78" t="s">
        <v>33</v>
      </c>
      <c r="C4" s="103"/>
      <c r="D4" s="79" t="s">
        <v>55</v>
      </c>
      <c r="E4" s="79" t="s">
        <v>54</v>
      </c>
      <c r="F4" s="79" t="s">
        <v>55</v>
      </c>
      <c r="G4" s="79" t="s">
        <v>55</v>
      </c>
      <c r="H4" s="79" t="s">
        <v>54</v>
      </c>
      <c r="I4" s="79" t="s">
        <v>56</v>
      </c>
      <c r="J4" s="79" t="s">
        <v>55</v>
      </c>
      <c r="K4" s="79" t="s">
        <v>55</v>
      </c>
      <c r="L4" s="79" t="s">
        <v>56</v>
      </c>
      <c r="M4" s="79" t="s">
        <v>55</v>
      </c>
      <c r="N4" s="79" t="s">
        <v>55</v>
      </c>
      <c r="O4" s="79" t="s">
        <v>55</v>
      </c>
      <c r="P4" s="79" t="s">
        <v>55</v>
      </c>
      <c r="Q4" s="79" t="s">
        <v>55</v>
      </c>
      <c r="R4" s="79" t="s">
        <v>55</v>
      </c>
      <c r="S4" s="79" t="s">
        <v>54</v>
      </c>
    </row>
    <row r="5" spans="1:19" x14ac:dyDescent="0.3">
      <c r="A5" s="73"/>
      <c r="B5" s="80" t="s">
        <v>30</v>
      </c>
      <c r="C5" s="104"/>
      <c r="D5" s="81">
        <v>8379</v>
      </c>
      <c r="E5" s="81">
        <v>7600</v>
      </c>
      <c r="F5" s="81">
        <v>8379</v>
      </c>
      <c r="G5" s="81">
        <v>8379</v>
      </c>
      <c r="H5" s="81">
        <v>7600</v>
      </c>
      <c r="I5" s="81">
        <v>9237.85</v>
      </c>
      <c r="J5" s="81">
        <v>8379</v>
      </c>
      <c r="K5" s="81">
        <v>8379</v>
      </c>
      <c r="L5" s="81">
        <v>9237.85</v>
      </c>
      <c r="M5" s="81">
        <v>8379</v>
      </c>
      <c r="N5" s="81">
        <v>8379</v>
      </c>
      <c r="O5" s="81">
        <v>8379</v>
      </c>
      <c r="P5" s="81">
        <v>8379</v>
      </c>
      <c r="Q5" s="81">
        <v>8379</v>
      </c>
      <c r="R5" s="81">
        <v>8379</v>
      </c>
      <c r="S5" s="81">
        <v>7600</v>
      </c>
    </row>
    <row r="6" spans="1:19" ht="15" thickBot="1" x14ac:dyDescent="0.35">
      <c r="A6" s="73"/>
      <c r="B6" s="82" t="s">
        <v>57</v>
      </c>
      <c r="C6" s="105"/>
      <c r="D6" s="83">
        <f>10698.26-D5+250</f>
        <v>2569.2600000000002</v>
      </c>
      <c r="E6" s="155">
        <f>9703.68-7600+250</f>
        <v>2353.6800000000003</v>
      </c>
      <c r="F6" s="83">
        <f>10698.26-F5+250</f>
        <v>2569.2600000000002</v>
      </c>
      <c r="G6" s="83">
        <f>10698.26-G5+250</f>
        <v>2569.2600000000002</v>
      </c>
      <c r="H6" s="83">
        <f>9703.68-7600+250</f>
        <v>2353.6800000000003</v>
      </c>
      <c r="I6" s="83">
        <f>11794.85-I5+250</f>
        <v>2807</v>
      </c>
      <c r="J6" s="83">
        <f t="shared" ref="J6:K6" si="0">10698.26-J5+250</f>
        <v>2569.2600000000002</v>
      </c>
      <c r="K6" s="83">
        <f t="shared" si="0"/>
        <v>2569.2600000000002</v>
      </c>
      <c r="L6" s="83">
        <f>11794.85-L5+250</f>
        <v>2807</v>
      </c>
      <c r="M6" s="83">
        <f t="shared" ref="M6:R6" si="1">10698.26-M5+250</f>
        <v>2569.2600000000002</v>
      </c>
      <c r="N6" s="83">
        <f t="shared" si="1"/>
        <v>2569.2600000000002</v>
      </c>
      <c r="O6" s="83">
        <f t="shared" si="1"/>
        <v>2569.2600000000002</v>
      </c>
      <c r="P6" s="83">
        <f t="shared" si="1"/>
        <v>2569.2600000000002</v>
      </c>
      <c r="Q6" s="83">
        <f t="shared" si="1"/>
        <v>2569.2600000000002</v>
      </c>
      <c r="R6" s="83">
        <f t="shared" si="1"/>
        <v>2569.2600000000002</v>
      </c>
      <c r="S6" s="83">
        <f>9703.68-7600+250</f>
        <v>2353.6800000000003</v>
      </c>
    </row>
    <row r="7" spans="1:19" ht="15" thickBot="1" x14ac:dyDescent="0.35">
      <c r="A7" s="73"/>
      <c r="B7" s="84" t="s">
        <v>58</v>
      </c>
      <c r="C7" s="106"/>
      <c r="D7" s="85">
        <f t="shared" ref="D7:I7" si="2">SUM(D5:D6)</f>
        <v>10948.26</v>
      </c>
      <c r="E7" s="85">
        <f t="shared" si="2"/>
        <v>9953.68</v>
      </c>
      <c r="F7" s="85">
        <f t="shared" si="2"/>
        <v>10948.26</v>
      </c>
      <c r="G7" s="85">
        <f t="shared" si="2"/>
        <v>10948.26</v>
      </c>
      <c r="H7" s="85">
        <f t="shared" si="2"/>
        <v>9953.68</v>
      </c>
      <c r="I7" s="85">
        <f t="shared" si="2"/>
        <v>12044.85</v>
      </c>
      <c r="J7" s="85">
        <f t="shared" ref="J7:K7" si="3">SUM(J5:J6)</f>
        <v>10948.26</v>
      </c>
      <c r="K7" s="85">
        <f t="shared" si="3"/>
        <v>10948.26</v>
      </c>
      <c r="L7" s="85">
        <f>SUM(L5:L6)</f>
        <v>12044.85</v>
      </c>
      <c r="M7" s="85">
        <f t="shared" ref="M7:N7" si="4">SUM(M5:M6)</f>
        <v>10948.26</v>
      </c>
      <c r="N7" s="85">
        <f t="shared" si="4"/>
        <v>10948.26</v>
      </c>
      <c r="O7" s="85">
        <f>SUM(O5:O6)</f>
        <v>10948.26</v>
      </c>
      <c r="P7" s="85">
        <f>SUM(P5:P6)</f>
        <v>10948.26</v>
      </c>
      <c r="Q7" s="85">
        <f>SUM(Q5:Q6)</f>
        <v>10948.26</v>
      </c>
      <c r="R7" s="85">
        <f>SUM(R5:R6)</f>
        <v>10948.26</v>
      </c>
      <c r="S7" s="122">
        <f>SUM(S5:S6)</f>
        <v>9953.68</v>
      </c>
    </row>
    <row r="8" spans="1:19" x14ac:dyDescent="0.3">
      <c r="A8" s="73"/>
      <c r="B8" s="86" t="s">
        <v>31</v>
      </c>
      <c r="C8" s="107"/>
      <c r="D8" s="87">
        <f>40%*D7</f>
        <v>4379.3040000000001</v>
      </c>
      <c r="E8" s="87">
        <f>5%*E7</f>
        <v>497.68400000000003</v>
      </c>
      <c r="F8" s="87">
        <f>5%*F7</f>
        <v>547.41300000000001</v>
      </c>
      <c r="G8" s="87">
        <f>30%*G7</f>
        <v>3284.4780000000001</v>
      </c>
      <c r="H8" s="87">
        <f>5%*H7</f>
        <v>497.68400000000003</v>
      </c>
      <c r="I8" s="87">
        <f>3/8*I7</f>
        <v>4516.8187500000004</v>
      </c>
      <c r="J8" s="87">
        <f>3/8*J7</f>
        <v>4105.5974999999999</v>
      </c>
      <c r="K8" s="87">
        <f>3/8*K7</f>
        <v>4105.5974999999999</v>
      </c>
      <c r="L8" s="87">
        <f>50%*L7</f>
        <v>6022.4250000000002</v>
      </c>
      <c r="M8" s="87">
        <f>30%*M7</f>
        <v>3284.4780000000001</v>
      </c>
      <c r="N8" s="87">
        <f>30%*N7</f>
        <v>3284.4780000000001</v>
      </c>
      <c r="O8" s="87">
        <f>3/8*O7</f>
        <v>4105.5974999999999</v>
      </c>
      <c r="P8" s="87">
        <f t="shared" ref="P8" si="5">40%*P7</f>
        <v>4379.3040000000001</v>
      </c>
      <c r="Q8" s="87">
        <f>35%*Q7</f>
        <v>3831.8909999999996</v>
      </c>
      <c r="R8" s="87">
        <f>35%*R7</f>
        <v>3831.8909999999996</v>
      </c>
      <c r="S8" s="123">
        <f>15%*S7</f>
        <v>1493.0519999999999</v>
      </c>
    </row>
    <row r="9" spans="1:19" x14ac:dyDescent="0.3">
      <c r="A9" s="73"/>
      <c r="B9" s="88" t="s">
        <v>34</v>
      </c>
      <c r="C9" s="131"/>
      <c r="D9" s="133"/>
      <c r="E9" s="133"/>
      <c r="F9" s="133"/>
      <c r="G9" s="133"/>
      <c r="H9" s="133"/>
      <c r="I9" s="133">
        <v>2000</v>
      </c>
      <c r="J9" s="133">
        <v>500</v>
      </c>
      <c r="K9" s="133">
        <v>500</v>
      </c>
      <c r="L9" s="133">
        <v>4750</v>
      </c>
      <c r="M9" s="133"/>
      <c r="N9" s="133"/>
      <c r="O9" s="133"/>
      <c r="P9" s="133"/>
      <c r="Q9" s="133"/>
      <c r="R9" s="133"/>
      <c r="S9" s="138"/>
    </row>
    <row r="10" spans="1:19" x14ac:dyDescent="0.3">
      <c r="A10" s="73"/>
      <c r="B10" s="88" t="s">
        <v>59</v>
      </c>
      <c r="C10" s="131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8"/>
    </row>
    <row r="11" spans="1:19" x14ac:dyDescent="0.3">
      <c r="A11" s="73"/>
      <c r="B11" s="94" t="s">
        <v>78</v>
      </c>
      <c r="C11" s="132">
        <v>8.3299999999999999E-2</v>
      </c>
      <c r="D11" s="133">
        <f>$C$11*D7</f>
        <v>911.99005799999998</v>
      </c>
      <c r="E11" s="133">
        <f t="shared" ref="E11:S11" si="6">$C$11*E7</f>
        <v>829.14154400000007</v>
      </c>
      <c r="F11" s="133">
        <f t="shared" si="6"/>
        <v>911.99005799999998</v>
      </c>
      <c r="G11" s="133">
        <f t="shared" si="6"/>
        <v>911.99005799999998</v>
      </c>
      <c r="H11" s="133">
        <f t="shared" si="6"/>
        <v>829.14154400000007</v>
      </c>
      <c r="I11" s="133">
        <f>$C$11*I7</f>
        <v>1003.336005</v>
      </c>
      <c r="J11" s="133">
        <f t="shared" ref="J11:K11" si="7">$C$11*J7</f>
        <v>911.99005799999998</v>
      </c>
      <c r="K11" s="133">
        <f t="shared" si="7"/>
        <v>911.99005799999998</v>
      </c>
      <c r="L11" s="133">
        <f t="shared" si="6"/>
        <v>1003.336005</v>
      </c>
      <c r="M11" s="133">
        <f t="shared" si="6"/>
        <v>911.99005799999998</v>
      </c>
      <c r="N11" s="133">
        <f t="shared" si="6"/>
        <v>911.99005799999998</v>
      </c>
      <c r="O11" s="133">
        <f t="shared" si="6"/>
        <v>911.99005799999998</v>
      </c>
      <c r="P11" s="133">
        <f t="shared" si="6"/>
        <v>911.99005799999998</v>
      </c>
      <c r="Q11" s="133">
        <f t="shared" si="6"/>
        <v>911.99005799999998</v>
      </c>
      <c r="R11" s="133">
        <f t="shared" si="6"/>
        <v>911.99005799999998</v>
      </c>
      <c r="S11" s="138">
        <f t="shared" si="6"/>
        <v>829.14154400000007</v>
      </c>
    </row>
    <row r="12" spans="1:19" x14ac:dyDescent="0.3">
      <c r="A12" s="73"/>
      <c r="B12" s="94" t="s">
        <v>77</v>
      </c>
      <c r="C12" s="115">
        <v>8.77E-2</v>
      </c>
      <c r="D12" s="133">
        <f>$C$12*D7</f>
        <v>960.16240200000004</v>
      </c>
      <c r="E12" s="133">
        <f t="shared" ref="E12:S12" si="8">$C$12*E7</f>
        <v>872.93773599999997</v>
      </c>
      <c r="F12" s="133">
        <f t="shared" si="8"/>
        <v>960.16240200000004</v>
      </c>
      <c r="G12" s="133">
        <f t="shared" si="8"/>
        <v>960.16240200000004</v>
      </c>
      <c r="H12" s="133">
        <f t="shared" si="8"/>
        <v>872.93773599999997</v>
      </c>
      <c r="I12" s="133">
        <f>$C$12*I7</f>
        <v>1056.333345</v>
      </c>
      <c r="J12" s="133">
        <f t="shared" ref="J12:K12" si="9">$C$12*J7</f>
        <v>960.16240200000004</v>
      </c>
      <c r="K12" s="133">
        <f t="shared" si="9"/>
        <v>960.16240200000004</v>
      </c>
      <c r="L12" s="133">
        <f t="shared" si="8"/>
        <v>1056.333345</v>
      </c>
      <c r="M12" s="133">
        <f t="shared" si="8"/>
        <v>960.16240200000004</v>
      </c>
      <c r="N12" s="133">
        <f t="shared" si="8"/>
        <v>960.16240200000004</v>
      </c>
      <c r="O12" s="133">
        <f t="shared" si="8"/>
        <v>960.16240200000004</v>
      </c>
      <c r="P12" s="133">
        <f t="shared" si="8"/>
        <v>960.16240200000004</v>
      </c>
      <c r="Q12" s="133">
        <f t="shared" si="8"/>
        <v>960.16240200000004</v>
      </c>
      <c r="R12" s="133">
        <f t="shared" si="8"/>
        <v>960.16240200000004</v>
      </c>
      <c r="S12" s="138">
        <f t="shared" si="8"/>
        <v>872.93773599999997</v>
      </c>
    </row>
    <row r="13" spans="1:19" ht="15" thickBot="1" x14ac:dyDescent="0.35">
      <c r="A13" s="73"/>
      <c r="B13" s="134" t="s">
        <v>92</v>
      </c>
      <c r="C13" s="135"/>
      <c r="D13" s="83"/>
      <c r="E13" s="83"/>
      <c r="F13" s="83"/>
      <c r="G13" s="83"/>
      <c r="H13" s="83"/>
      <c r="I13" s="83">
        <f>16.67%*I7</f>
        <v>2007.8764950000002</v>
      </c>
      <c r="J13" s="83">
        <f t="shared" ref="J13:K13" si="10">16.67%*J7</f>
        <v>1825.0749420000002</v>
      </c>
      <c r="K13" s="83">
        <f t="shared" si="10"/>
        <v>1825.0749420000002</v>
      </c>
      <c r="L13" s="83"/>
      <c r="M13" s="83">
        <f>1/6*M7</f>
        <v>1824.71</v>
      </c>
      <c r="N13" s="83"/>
      <c r="O13" s="83">
        <f>1/6*O7</f>
        <v>1824.71</v>
      </c>
      <c r="P13" s="83"/>
      <c r="Q13" s="83"/>
      <c r="R13" s="83"/>
      <c r="S13" s="121"/>
    </row>
    <row r="14" spans="1:19" ht="15" thickBot="1" x14ac:dyDescent="0.35">
      <c r="A14" s="73"/>
      <c r="B14" s="84" t="s">
        <v>35</v>
      </c>
      <c r="C14" s="106"/>
      <c r="D14" s="91">
        <f>SUM(D7:D12)</f>
        <v>17199.71646</v>
      </c>
      <c r="E14" s="91">
        <f t="shared" ref="E14:S14" si="11">SUM(E7:E12)</f>
        <v>12153.44328</v>
      </c>
      <c r="F14" s="91">
        <f>SUM(F7:F13)</f>
        <v>13367.82546</v>
      </c>
      <c r="G14" s="91">
        <f t="shared" si="11"/>
        <v>16104.890460000001</v>
      </c>
      <c r="H14" s="91">
        <f t="shared" si="11"/>
        <v>12153.44328</v>
      </c>
      <c r="I14" s="91">
        <f>SUM(I7:I12)</f>
        <v>20621.338100000001</v>
      </c>
      <c r="J14" s="91">
        <f t="shared" ref="J14:K14" si="12">SUM(J7:J12)</f>
        <v>17426.009960000003</v>
      </c>
      <c r="K14" s="91">
        <f t="shared" si="12"/>
        <v>17426.009960000003</v>
      </c>
      <c r="L14" s="91">
        <f t="shared" si="11"/>
        <v>24876.944350000002</v>
      </c>
      <c r="M14" s="91">
        <f t="shared" ref="M14" si="13">SUM(M7:M12)</f>
        <v>16104.890460000001</v>
      </c>
      <c r="N14" s="91">
        <f t="shared" si="11"/>
        <v>16104.890460000001</v>
      </c>
      <c r="O14" s="91">
        <f>SUM(O7:O13)</f>
        <v>18750.719959999999</v>
      </c>
      <c r="P14" s="91">
        <f t="shared" si="11"/>
        <v>17199.71646</v>
      </c>
      <c r="Q14" s="91">
        <f t="shared" si="11"/>
        <v>16652.303459999999</v>
      </c>
      <c r="R14" s="91">
        <f t="shared" ref="R14" si="14">SUM(R7:R12)</f>
        <v>16652.303459999999</v>
      </c>
      <c r="S14" s="124">
        <f t="shared" si="11"/>
        <v>13148.81128</v>
      </c>
    </row>
    <row r="15" spans="1:19" x14ac:dyDescent="0.3">
      <c r="A15" s="73"/>
      <c r="B15" s="92" t="s">
        <v>36</v>
      </c>
      <c r="C15" s="109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125"/>
    </row>
    <row r="16" spans="1:19" x14ac:dyDescent="0.3">
      <c r="A16" s="73"/>
      <c r="B16" s="94" t="s">
        <v>80</v>
      </c>
      <c r="C16" s="114">
        <v>0.12</v>
      </c>
      <c r="D16" s="95">
        <f>IF(SUM(D14-D8)&gt;15000,(15000*$C$16),IF(SUM(D14-D8)=15000,15000*$C$16,IF(SUM(D14-D8)&lt;15000,SUM(D14-D8)*$C$16,0)))</f>
        <v>1538.4494952</v>
      </c>
      <c r="E16" s="95">
        <f t="shared" ref="E16:S16" si="15">IF(SUM(E14-E8)&gt;15000,(15000*$C$16),IF(SUM(E14-E8)=15000,15000*$C$16,IF(SUM(E14-E8)&lt;15000,SUM(E14-E8)*$C$16,0)))</f>
        <v>1398.6911135999999</v>
      </c>
      <c r="F16" s="95">
        <f t="shared" si="15"/>
        <v>1538.4494952</v>
      </c>
      <c r="G16" s="95">
        <f t="shared" si="15"/>
        <v>1538.4494952</v>
      </c>
      <c r="H16" s="95">
        <f t="shared" si="15"/>
        <v>1398.6911135999999</v>
      </c>
      <c r="I16" s="95">
        <f>IF(SUM(I14-I8)&gt;15000,(15000*$C$16),IF(SUM(I14-I8)=15000,15000*$C$16,IF(SUM(I14-I8)&lt;15000,SUM(I14-I8)*$C$16,0)))</f>
        <v>1800</v>
      </c>
      <c r="J16" s="95">
        <f t="shared" ref="J16:K16" si="16">IF(SUM(J14-J8)&gt;15000,(15000*$C$16),IF(SUM(J14-J8)=15000,15000*$C$16,IF(SUM(J14-J8)&lt;15000,SUM(J14-J8)*$C$16,0)))</f>
        <v>1598.4494952000002</v>
      </c>
      <c r="K16" s="95">
        <f t="shared" si="16"/>
        <v>1598.4494952000002</v>
      </c>
      <c r="L16" s="95">
        <f t="shared" si="15"/>
        <v>1800</v>
      </c>
      <c r="M16" s="95">
        <f t="shared" si="15"/>
        <v>1538.4494952</v>
      </c>
      <c r="N16" s="95">
        <f t="shared" si="15"/>
        <v>1538.4494952</v>
      </c>
      <c r="O16" s="95">
        <f t="shared" si="15"/>
        <v>1757.4146951999999</v>
      </c>
      <c r="P16" s="95">
        <f t="shared" si="15"/>
        <v>1538.4494952</v>
      </c>
      <c r="Q16" s="95">
        <f t="shared" si="15"/>
        <v>1538.4494952</v>
      </c>
      <c r="R16" s="95">
        <f t="shared" ref="R16" si="17">IF(SUM(R14-R8)&gt;15000,(15000*$C$16),IF(SUM(R14-R8)=15000,15000*$C$16,IF(SUM(R14-R8)&lt;15000,SUM(R14-R8)*$C$16,0)))</f>
        <v>1538.4494952</v>
      </c>
      <c r="S16" s="126">
        <f t="shared" si="15"/>
        <v>1398.6911135999999</v>
      </c>
    </row>
    <row r="17" spans="1:19" x14ac:dyDescent="0.3">
      <c r="A17" s="73"/>
      <c r="B17" s="94" t="s">
        <v>81</v>
      </c>
      <c r="C17" s="115">
        <v>7.4999999999999997E-3</v>
      </c>
      <c r="D17" s="95">
        <f>IF(D14&gt;21000,0,IF(D14&lt;21000,D14*$C$17))</f>
        <v>128.99787344999999</v>
      </c>
      <c r="E17" s="95">
        <f t="shared" ref="E17:S17" si="18">IF(E14&gt;21000,0,IF(E14&lt;21000,E14*$C$17))</f>
        <v>91.150824599999993</v>
      </c>
      <c r="F17" s="95">
        <f t="shared" si="18"/>
        <v>100.25869095</v>
      </c>
      <c r="G17" s="95">
        <f t="shared" si="18"/>
        <v>120.78667845</v>
      </c>
      <c r="H17" s="95">
        <f t="shared" si="18"/>
        <v>91.150824599999993</v>
      </c>
      <c r="I17" s="95">
        <f>IF(I14&gt;21000,0,IF(I14&lt;21000,I14*$C$17))</f>
        <v>154.66003574999999</v>
      </c>
      <c r="J17" s="95">
        <f t="shared" ref="J17:K17" si="19">IF(J14&gt;21000,0,IF(J14&lt;21000,J14*$C$17))</f>
        <v>130.69507470000002</v>
      </c>
      <c r="K17" s="95">
        <f t="shared" si="19"/>
        <v>130.69507470000002</v>
      </c>
      <c r="L17" s="95">
        <f t="shared" si="18"/>
        <v>0</v>
      </c>
      <c r="M17" s="95">
        <f t="shared" si="18"/>
        <v>120.78667845</v>
      </c>
      <c r="N17" s="95">
        <f t="shared" si="18"/>
        <v>120.78667845</v>
      </c>
      <c r="O17" s="95">
        <f t="shared" si="18"/>
        <v>140.63039969999997</v>
      </c>
      <c r="P17" s="95">
        <f t="shared" si="18"/>
        <v>128.99787344999999</v>
      </c>
      <c r="Q17" s="95">
        <f t="shared" si="18"/>
        <v>124.89227594999998</v>
      </c>
      <c r="R17" s="95">
        <f t="shared" ref="R17" si="20">IF(R14&gt;21000,0,IF(R14&lt;21000,R14*$C$17))</f>
        <v>124.89227594999998</v>
      </c>
      <c r="S17" s="126">
        <f t="shared" si="18"/>
        <v>98.616084599999994</v>
      </c>
    </row>
    <row r="18" spans="1:19" x14ac:dyDescent="0.3">
      <c r="A18" s="73"/>
      <c r="B18" s="94" t="s">
        <v>37</v>
      </c>
      <c r="C18" s="110"/>
      <c r="D18" s="96">
        <v>25</v>
      </c>
      <c r="E18" s="96">
        <v>25</v>
      </c>
      <c r="F18" s="96">
        <v>25</v>
      </c>
      <c r="G18" s="96">
        <v>25</v>
      </c>
      <c r="H18" s="96">
        <v>25</v>
      </c>
      <c r="I18" s="96">
        <v>25</v>
      </c>
      <c r="J18" s="96">
        <v>25</v>
      </c>
      <c r="K18" s="96">
        <v>25</v>
      </c>
      <c r="L18" s="96">
        <v>25</v>
      </c>
      <c r="M18" s="96">
        <v>25</v>
      </c>
      <c r="N18" s="96">
        <v>25</v>
      </c>
      <c r="O18" s="96">
        <v>25</v>
      </c>
      <c r="P18" s="96">
        <v>25</v>
      </c>
      <c r="Q18" s="96">
        <v>25</v>
      </c>
      <c r="R18" s="96">
        <v>25</v>
      </c>
      <c r="S18" s="127">
        <v>25</v>
      </c>
    </row>
    <row r="19" spans="1:19" ht="15" thickBot="1" x14ac:dyDescent="0.35">
      <c r="A19" s="73"/>
      <c r="B19" s="89" t="s">
        <v>38</v>
      </c>
      <c r="C19" s="108"/>
      <c r="D19" s="97" t="s">
        <v>60</v>
      </c>
      <c r="E19" s="97" t="s">
        <v>60</v>
      </c>
      <c r="F19" s="97" t="s">
        <v>60</v>
      </c>
      <c r="G19" s="97" t="s">
        <v>60</v>
      </c>
      <c r="H19" s="97" t="s">
        <v>60</v>
      </c>
      <c r="I19" s="97" t="s">
        <v>60</v>
      </c>
      <c r="J19" s="97" t="s">
        <v>60</v>
      </c>
      <c r="K19" s="97" t="s">
        <v>60</v>
      </c>
      <c r="L19" s="97" t="s">
        <v>60</v>
      </c>
      <c r="M19" s="97" t="s">
        <v>60</v>
      </c>
      <c r="N19" s="97" t="s">
        <v>60</v>
      </c>
      <c r="O19" s="97" t="s">
        <v>60</v>
      </c>
      <c r="P19" s="97" t="s">
        <v>60</v>
      </c>
      <c r="Q19" s="97" t="s">
        <v>60</v>
      </c>
      <c r="R19" s="97" t="s">
        <v>60</v>
      </c>
      <c r="S19" s="128" t="s">
        <v>60</v>
      </c>
    </row>
    <row r="20" spans="1:19" ht="15" thickBot="1" x14ac:dyDescent="0.35">
      <c r="A20" s="73"/>
      <c r="B20" s="84" t="s">
        <v>39</v>
      </c>
      <c r="C20" s="106"/>
      <c r="D20" s="85">
        <f t="shared" ref="D20:O20" si="21">SUM(D16:D19)</f>
        <v>1692.44736865</v>
      </c>
      <c r="E20" s="85">
        <f t="shared" si="21"/>
        <v>1514.8419382</v>
      </c>
      <c r="F20" s="85">
        <f t="shared" si="21"/>
        <v>1663.7081861500001</v>
      </c>
      <c r="G20" s="85">
        <f t="shared" si="21"/>
        <v>1684.23617365</v>
      </c>
      <c r="H20" s="85">
        <f t="shared" si="21"/>
        <v>1514.8419382</v>
      </c>
      <c r="I20" s="85">
        <f t="shared" ref="I20:K20" si="22">SUM(I16:I19)</f>
        <v>1979.6600357499999</v>
      </c>
      <c r="J20" s="85">
        <f t="shared" si="22"/>
        <v>1754.1445699000003</v>
      </c>
      <c r="K20" s="85">
        <f t="shared" si="22"/>
        <v>1754.1445699000003</v>
      </c>
      <c r="L20" s="85">
        <f t="shared" si="21"/>
        <v>1825</v>
      </c>
      <c r="M20" s="85">
        <f t="shared" ref="M20" si="23">SUM(M16:M19)</f>
        <v>1684.23617365</v>
      </c>
      <c r="N20" s="85">
        <f t="shared" si="21"/>
        <v>1684.23617365</v>
      </c>
      <c r="O20" s="85">
        <f t="shared" si="21"/>
        <v>1923.0450948999999</v>
      </c>
      <c r="P20" s="85">
        <f>SUM(P16:P19)</f>
        <v>1692.44736865</v>
      </c>
      <c r="Q20" s="85">
        <f t="shared" ref="Q20:S20" si="24">SUM(Q16:Q19)</f>
        <v>1688.3417711499999</v>
      </c>
      <c r="R20" s="85">
        <f t="shared" ref="R20" si="25">SUM(R16:R19)</f>
        <v>1688.3417711499999</v>
      </c>
      <c r="S20" s="122">
        <f t="shared" si="24"/>
        <v>1522.3071981999999</v>
      </c>
    </row>
    <row r="21" spans="1:19" ht="15" thickBot="1" x14ac:dyDescent="0.35">
      <c r="A21" s="73"/>
      <c r="B21" s="98"/>
      <c r="C21" s="11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129"/>
    </row>
    <row r="22" spans="1:19" ht="15" thickBot="1" x14ac:dyDescent="0.35">
      <c r="A22" s="73"/>
      <c r="B22" s="84" t="s">
        <v>40</v>
      </c>
      <c r="C22" s="106"/>
      <c r="D22" s="85">
        <f>D14-D20</f>
        <v>15507.269091349999</v>
      </c>
      <c r="E22" s="85">
        <f>E14-E20</f>
        <v>10638.6013418</v>
      </c>
      <c r="F22" s="85">
        <f t="shared" ref="F22:S22" si="26">F14-F20</f>
        <v>11704.117273849999</v>
      </c>
      <c r="G22" s="85">
        <f t="shared" si="26"/>
        <v>14420.65428635</v>
      </c>
      <c r="H22" s="85">
        <f t="shared" si="26"/>
        <v>10638.6013418</v>
      </c>
      <c r="I22" s="85">
        <f>I14-I20</f>
        <v>18641.678064250002</v>
      </c>
      <c r="J22" s="85">
        <f t="shared" ref="J22:K22" si="27">J14-J20</f>
        <v>15671.865390100003</v>
      </c>
      <c r="K22" s="85">
        <f t="shared" si="27"/>
        <v>15671.865390100003</v>
      </c>
      <c r="L22" s="85">
        <f t="shared" si="26"/>
        <v>23051.944350000002</v>
      </c>
      <c r="M22" s="85">
        <f t="shared" ref="M22" si="28">M14-M20</f>
        <v>14420.65428635</v>
      </c>
      <c r="N22" s="85">
        <f t="shared" si="26"/>
        <v>14420.65428635</v>
      </c>
      <c r="O22" s="85">
        <f t="shared" si="26"/>
        <v>16827.674865099998</v>
      </c>
      <c r="P22" s="85">
        <f t="shared" si="26"/>
        <v>15507.269091349999</v>
      </c>
      <c r="Q22" s="85">
        <f t="shared" si="26"/>
        <v>14963.961688849999</v>
      </c>
      <c r="R22" s="85">
        <f t="shared" ref="R22" si="29">R14-R20</f>
        <v>14963.961688849999</v>
      </c>
      <c r="S22" s="122">
        <f t="shared" si="26"/>
        <v>11626.5040818</v>
      </c>
    </row>
    <row r="23" spans="1:19" x14ac:dyDescent="0.3">
      <c r="A23" s="73"/>
      <c r="B23" s="92" t="s">
        <v>61</v>
      </c>
      <c r="C23" s="109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125"/>
    </row>
    <row r="24" spans="1:19" x14ac:dyDescent="0.3">
      <c r="A24" s="73"/>
      <c r="B24" s="94" t="s">
        <v>80</v>
      </c>
      <c r="C24" s="114">
        <v>0.13</v>
      </c>
      <c r="D24" s="95">
        <f>IF(SUM(D14-D8)&gt;15000,(15000*$C$24),IF(SUM(D14-D8)=15000,15000*$C$24,IF(SUM(D14-D8)&lt;15000,SUM(D14-D8)*$C$24,0)))</f>
        <v>1666.6536197999999</v>
      </c>
      <c r="E24" s="95">
        <f t="shared" ref="E24:S24" si="30">IF(SUM(E14-E8)&gt;15000,(15000*$C$24),IF(SUM(E14-E8)=15000,15000*$C$24,IF(SUM(E14-E8)&lt;15000,SUM(E14-E8)*$C$24,0)))</f>
        <v>1515.2487064000002</v>
      </c>
      <c r="F24" s="95">
        <f t="shared" si="30"/>
        <v>1666.6536197999999</v>
      </c>
      <c r="G24" s="95">
        <f t="shared" si="30"/>
        <v>1666.6536197999999</v>
      </c>
      <c r="H24" s="95">
        <f t="shared" si="30"/>
        <v>1515.2487064000002</v>
      </c>
      <c r="I24" s="95">
        <f>IF(SUM(I14-I8)&gt;15000,(15000*$C$24),IF(SUM(I14-I8)=15000,15000*$C$24,IF(SUM(I14-I8)&lt;15000,SUM(I14-I8)*$C$24,0)))</f>
        <v>1950</v>
      </c>
      <c r="J24" s="95">
        <f t="shared" ref="J24:K24" si="31">IF(SUM(J14-J8)&gt;15000,(15000*$C$24),IF(SUM(J14-J8)=15000,15000*$C$24,IF(SUM(J14-J8)&lt;15000,SUM(J14-J8)*$C$24,0)))</f>
        <v>1731.6536198000006</v>
      </c>
      <c r="K24" s="95">
        <f t="shared" si="31"/>
        <v>1731.6536198000006</v>
      </c>
      <c r="L24" s="95">
        <f t="shared" si="30"/>
        <v>1950</v>
      </c>
      <c r="M24" s="95">
        <f t="shared" ref="M24" si="32">IF(SUM(M14-M8)&gt;15000,(15000*$C$24),IF(SUM(M14-M8)=15000,15000*$C$24,IF(SUM(M14-M8)&lt;15000,SUM(M14-M8)*$C$24,0)))</f>
        <v>1666.6536197999999</v>
      </c>
      <c r="N24" s="95">
        <f t="shared" si="30"/>
        <v>1666.6536197999999</v>
      </c>
      <c r="O24" s="95">
        <f t="shared" si="30"/>
        <v>1903.8659197999998</v>
      </c>
      <c r="P24" s="95">
        <f t="shared" si="30"/>
        <v>1666.6536197999999</v>
      </c>
      <c r="Q24" s="95">
        <f t="shared" si="30"/>
        <v>1666.6536197999999</v>
      </c>
      <c r="R24" s="95">
        <f t="shared" ref="R24" si="33">IF(SUM(R14-R8)&gt;15000,(15000*$C$24),IF(SUM(R14-R8)=15000,15000*$C$24,IF(SUM(R14-R8)&lt;15000,SUM(R14-R8)*$C$24,0)))</f>
        <v>1666.6536197999999</v>
      </c>
      <c r="S24" s="126">
        <f t="shared" si="30"/>
        <v>1515.2487064000002</v>
      </c>
    </row>
    <row r="25" spans="1:19" x14ac:dyDescent="0.3">
      <c r="A25" s="73"/>
      <c r="B25" s="94" t="s">
        <v>79</v>
      </c>
      <c r="C25" s="115">
        <v>3.2500000000000001E-2</v>
      </c>
      <c r="D25" s="95">
        <f>IF(D14&gt;21000,350,IF(D14&lt;21000,D14*$C$25))</f>
        <v>558.99078495000003</v>
      </c>
      <c r="E25" s="95">
        <f t="shared" ref="E25:S25" si="34">IF(E14&gt;21000,350,IF(E14&lt;21000,E14*$C$25))</f>
        <v>394.9869066</v>
      </c>
      <c r="F25" s="95">
        <f t="shared" si="34"/>
        <v>434.45432744999999</v>
      </c>
      <c r="G25" s="95">
        <f t="shared" si="34"/>
        <v>523.40893994999999</v>
      </c>
      <c r="H25" s="95">
        <f t="shared" si="34"/>
        <v>394.9869066</v>
      </c>
      <c r="I25" s="95">
        <f>IF(I14&gt;21000,350,IF(I14&lt;21000,I14*$C$25))</f>
        <v>670.19348825000009</v>
      </c>
      <c r="J25" s="95">
        <f t="shared" ref="J25:K25" si="35">IF(J14&gt;21000,350,IF(J14&lt;21000,J14*$C$25))</f>
        <v>566.34532370000011</v>
      </c>
      <c r="K25" s="95">
        <f t="shared" si="35"/>
        <v>566.34532370000011</v>
      </c>
      <c r="L25" s="95">
        <f t="shared" si="34"/>
        <v>350</v>
      </c>
      <c r="M25" s="95">
        <f t="shared" ref="M25" si="36">IF(M14&gt;21000,350,IF(M14&lt;21000,M14*$C$25))</f>
        <v>523.40893994999999</v>
      </c>
      <c r="N25" s="95">
        <f t="shared" si="34"/>
        <v>523.40893994999999</v>
      </c>
      <c r="O25" s="95">
        <f t="shared" si="34"/>
        <v>609.39839870000003</v>
      </c>
      <c r="P25" s="95">
        <f t="shared" si="34"/>
        <v>558.99078495000003</v>
      </c>
      <c r="Q25" s="95">
        <f t="shared" si="34"/>
        <v>541.19986244999996</v>
      </c>
      <c r="R25" s="95">
        <f t="shared" ref="R25" si="37">IF(R14&gt;21000,350,IF(R14&lt;21000,R14*$C$25))</f>
        <v>541.19986244999996</v>
      </c>
      <c r="S25" s="126">
        <f t="shared" si="34"/>
        <v>427.33636660000002</v>
      </c>
    </row>
    <row r="26" spans="1:19" x14ac:dyDescent="0.3">
      <c r="A26" s="73"/>
      <c r="B26" s="94" t="s">
        <v>96</v>
      </c>
      <c r="C26" s="115">
        <v>2.5600000000000001E-2</v>
      </c>
      <c r="D26" s="95">
        <f>$C$26*SUM(D7:D13)</f>
        <v>440.31274137600002</v>
      </c>
      <c r="E26" s="95">
        <f t="shared" ref="E26:S26" si="38">$C$26*SUM(E7:E13)</f>
        <v>311.12814796800001</v>
      </c>
      <c r="F26" s="95">
        <f t="shared" si="38"/>
        <v>342.216331776</v>
      </c>
      <c r="G26" s="95">
        <f t="shared" si="38"/>
        <v>412.28519577600002</v>
      </c>
      <c r="H26" s="95">
        <f t="shared" si="38"/>
        <v>311.12814796800001</v>
      </c>
      <c r="I26" s="95">
        <f t="shared" si="38"/>
        <v>579.30789363200006</v>
      </c>
      <c r="J26" s="95">
        <f t="shared" si="38"/>
        <v>492.82777349120011</v>
      </c>
      <c r="K26" s="95">
        <f t="shared" si="38"/>
        <v>492.82777349120011</v>
      </c>
      <c r="L26" s="95">
        <f t="shared" si="38"/>
        <v>636.84977536000008</v>
      </c>
      <c r="M26" s="95">
        <f t="shared" si="38"/>
        <v>458.99777177600004</v>
      </c>
      <c r="N26" s="95">
        <f t="shared" si="38"/>
        <v>412.28519577600002</v>
      </c>
      <c r="O26" s="95">
        <f t="shared" si="38"/>
        <v>480.01843097599999</v>
      </c>
      <c r="P26" s="95">
        <f t="shared" si="38"/>
        <v>440.31274137600002</v>
      </c>
      <c r="Q26" s="95">
        <f t="shared" si="38"/>
        <v>426.29896857599999</v>
      </c>
      <c r="R26" s="95">
        <f t="shared" si="38"/>
        <v>426.29896857599999</v>
      </c>
      <c r="S26" s="126">
        <f t="shared" si="38"/>
        <v>336.60956876800003</v>
      </c>
    </row>
    <row r="27" spans="1:19" x14ac:dyDescent="0.3">
      <c r="A27" s="73"/>
      <c r="B27" s="88" t="s">
        <v>37</v>
      </c>
      <c r="C27" s="112"/>
      <c r="D27" s="96">
        <v>50</v>
      </c>
      <c r="E27" s="96">
        <v>50</v>
      </c>
      <c r="F27" s="96">
        <v>50</v>
      </c>
      <c r="G27" s="96">
        <v>50</v>
      </c>
      <c r="H27" s="96">
        <v>50</v>
      </c>
      <c r="I27" s="96">
        <v>50</v>
      </c>
      <c r="J27" s="96">
        <v>50</v>
      </c>
      <c r="K27" s="96">
        <v>50</v>
      </c>
      <c r="L27" s="96">
        <v>50</v>
      </c>
      <c r="M27" s="96">
        <v>50</v>
      </c>
      <c r="N27" s="96">
        <v>50</v>
      </c>
      <c r="O27" s="96">
        <v>50</v>
      </c>
      <c r="P27" s="96">
        <v>50</v>
      </c>
      <c r="Q27" s="96">
        <v>50</v>
      </c>
      <c r="R27" s="96">
        <v>50</v>
      </c>
      <c r="S27" s="127">
        <v>50</v>
      </c>
    </row>
    <row r="28" spans="1:19" x14ac:dyDescent="0.3">
      <c r="A28" s="73"/>
      <c r="B28" s="94" t="s">
        <v>62</v>
      </c>
      <c r="C28" s="115"/>
      <c r="D28" s="115" t="s">
        <v>84</v>
      </c>
      <c r="E28" s="115" t="s">
        <v>84</v>
      </c>
      <c r="F28" s="115" t="s">
        <v>84</v>
      </c>
      <c r="G28" s="115" t="s">
        <v>84</v>
      </c>
      <c r="H28" s="115" t="s">
        <v>84</v>
      </c>
      <c r="I28" s="115" t="s">
        <v>84</v>
      </c>
      <c r="J28" s="115" t="s">
        <v>84</v>
      </c>
      <c r="K28" s="115" t="s">
        <v>84</v>
      </c>
      <c r="L28" s="115" t="s">
        <v>84</v>
      </c>
      <c r="M28" s="115" t="s">
        <v>84</v>
      </c>
      <c r="N28" s="115" t="s">
        <v>84</v>
      </c>
      <c r="O28" s="115" t="s">
        <v>84</v>
      </c>
      <c r="P28" s="115" t="s">
        <v>84</v>
      </c>
      <c r="Q28" s="115" t="s">
        <v>84</v>
      </c>
      <c r="R28" s="115" t="s">
        <v>84</v>
      </c>
      <c r="S28" s="139" t="s">
        <v>84</v>
      </c>
    </row>
    <row r="29" spans="1:19" x14ac:dyDescent="0.3">
      <c r="A29" s="73"/>
      <c r="B29" s="88" t="s">
        <v>63</v>
      </c>
      <c r="C29" s="112"/>
      <c r="D29" s="95">
        <v>150</v>
      </c>
      <c r="E29" s="95">
        <v>150</v>
      </c>
      <c r="F29" s="95">
        <v>150</v>
      </c>
      <c r="G29" s="95">
        <v>150</v>
      </c>
      <c r="H29" s="95">
        <v>150</v>
      </c>
      <c r="I29" s="95">
        <v>150</v>
      </c>
      <c r="J29" s="95">
        <v>150</v>
      </c>
      <c r="K29" s="95">
        <v>150</v>
      </c>
      <c r="L29" s="95">
        <v>150</v>
      </c>
      <c r="M29" s="95">
        <v>150</v>
      </c>
      <c r="N29" s="95">
        <v>150</v>
      </c>
      <c r="O29" s="95">
        <v>150</v>
      </c>
      <c r="P29" s="95">
        <v>150</v>
      </c>
      <c r="Q29" s="95">
        <v>150</v>
      </c>
      <c r="R29" s="95">
        <v>150</v>
      </c>
      <c r="S29" s="126">
        <v>150</v>
      </c>
    </row>
    <row r="30" spans="1:19" ht="15" thickBot="1" x14ac:dyDescent="0.35">
      <c r="A30" s="73"/>
      <c r="B30" s="89" t="s">
        <v>64</v>
      </c>
      <c r="C30" s="108"/>
      <c r="D30" s="90">
        <v>275</v>
      </c>
      <c r="E30" s="90">
        <v>275</v>
      </c>
      <c r="F30" s="90">
        <v>275</v>
      </c>
      <c r="G30" s="90">
        <v>275</v>
      </c>
      <c r="H30" s="90">
        <v>275</v>
      </c>
      <c r="I30" s="90">
        <v>275</v>
      </c>
      <c r="J30" s="90">
        <v>275</v>
      </c>
      <c r="K30" s="90">
        <v>275</v>
      </c>
      <c r="L30" s="90">
        <v>275</v>
      </c>
      <c r="M30" s="90">
        <v>275</v>
      </c>
      <c r="N30" s="90">
        <v>275</v>
      </c>
      <c r="O30" s="90">
        <v>275</v>
      </c>
      <c r="P30" s="90">
        <v>275</v>
      </c>
      <c r="Q30" s="90">
        <v>275</v>
      </c>
      <c r="R30" s="90">
        <v>275</v>
      </c>
      <c r="S30" s="140">
        <v>275</v>
      </c>
    </row>
    <row r="31" spans="1:19" ht="15" thickBot="1" x14ac:dyDescent="0.35">
      <c r="A31" s="73"/>
      <c r="B31" s="89" t="s">
        <v>97</v>
      </c>
      <c r="C31" s="108"/>
      <c r="D31" s="90">
        <v>750</v>
      </c>
      <c r="E31" s="90">
        <v>750</v>
      </c>
      <c r="F31" s="90">
        <v>750</v>
      </c>
      <c r="G31" s="90">
        <v>750</v>
      </c>
      <c r="H31" s="90">
        <v>750</v>
      </c>
      <c r="I31" s="90">
        <v>700</v>
      </c>
      <c r="J31" s="90">
        <v>700</v>
      </c>
      <c r="K31" s="90">
        <v>700</v>
      </c>
      <c r="L31" s="90">
        <v>750</v>
      </c>
      <c r="M31" s="90">
        <v>750</v>
      </c>
      <c r="N31" s="90">
        <v>750</v>
      </c>
      <c r="O31" s="90">
        <v>750</v>
      </c>
      <c r="P31" s="90">
        <v>750</v>
      </c>
      <c r="Q31" s="90">
        <v>750</v>
      </c>
      <c r="R31" s="90">
        <v>750</v>
      </c>
      <c r="S31" s="90">
        <v>750</v>
      </c>
    </row>
    <row r="32" spans="1:19" ht="15" thickBot="1" x14ac:dyDescent="0.35">
      <c r="A32" s="73"/>
      <c r="B32" s="84" t="s">
        <v>41</v>
      </c>
      <c r="C32" s="106"/>
      <c r="D32" s="85">
        <f t="shared" ref="D32:I32" si="39">SUM(D24:D31)</f>
        <v>3890.9571461259998</v>
      </c>
      <c r="E32" s="85">
        <f t="shared" si="39"/>
        <v>3446.3637609680004</v>
      </c>
      <c r="F32" s="85">
        <f t="shared" si="39"/>
        <v>3668.3242790260001</v>
      </c>
      <c r="G32" s="85">
        <f t="shared" si="39"/>
        <v>3827.3477555259997</v>
      </c>
      <c r="H32" s="85">
        <f t="shared" si="39"/>
        <v>3446.3637609680004</v>
      </c>
      <c r="I32" s="85">
        <f t="shared" si="39"/>
        <v>4374.5013818819998</v>
      </c>
      <c r="J32" s="85">
        <f t="shared" ref="J32:K32" si="40">SUM(J24:J31)</f>
        <v>3965.8267169912006</v>
      </c>
      <c r="K32" s="85">
        <f t="shared" si="40"/>
        <v>3965.8267169912006</v>
      </c>
      <c r="L32" s="85">
        <f t="shared" ref="L32:S32" si="41">SUM(L24:L31)</f>
        <v>4161.8497753600004</v>
      </c>
      <c r="M32" s="85">
        <f t="shared" si="41"/>
        <v>3874.0603315259996</v>
      </c>
      <c r="N32" s="85">
        <f t="shared" si="41"/>
        <v>3827.3477555259997</v>
      </c>
      <c r="O32" s="85">
        <f t="shared" si="41"/>
        <v>4218.2827494759995</v>
      </c>
      <c r="P32" s="85">
        <f t="shared" si="41"/>
        <v>3890.9571461259998</v>
      </c>
      <c r="Q32" s="85">
        <f t="shared" si="41"/>
        <v>3859.1524508259995</v>
      </c>
      <c r="R32" s="85">
        <f t="shared" si="41"/>
        <v>3859.1524508259995</v>
      </c>
      <c r="S32" s="122">
        <f t="shared" si="41"/>
        <v>3504.1946417680001</v>
      </c>
    </row>
    <row r="33" spans="1:19" ht="16.2" thickBot="1" x14ac:dyDescent="0.35">
      <c r="A33" s="73"/>
      <c r="B33" s="100" t="s">
        <v>42</v>
      </c>
      <c r="C33" s="113"/>
      <c r="D33" s="101">
        <f t="shared" ref="D33:I33" si="42">INT(D14+D32)</f>
        <v>21090</v>
      </c>
      <c r="E33" s="101">
        <f t="shared" si="42"/>
        <v>15599</v>
      </c>
      <c r="F33" s="101">
        <f t="shared" si="42"/>
        <v>17036</v>
      </c>
      <c r="G33" s="101">
        <f t="shared" si="42"/>
        <v>19932</v>
      </c>
      <c r="H33" s="101">
        <f t="shared" si="42"/>
        <v>15599</v>
      </c>
      <c r="I33" s="101">
        <f t="shared" si="42"/>
        <v>24995</v>
      </c>
      <c r="J33" s="101">
        <f t="shared" ref="J33:K33" si="43">INT(J14+J32)</f>
        <v>21391</v>
      </c>
      <c r="K33" s="101">
        <f t="shared" si="43"/>
        <v>21391</v>
      </c>
      <c r="L33" s="101">
        <f t="shared" ref="L33:S33" si="44">INT(L14+L32)</f>
        <v>29038</v>
      </c>
      <c r="M33" s="101">
        <f t="shared" si="44"/>
        <v>19978</v>
      </c>
      <c r="N33" s="101">
        <f t="shared" si="44"/>
        <v>19932</v>
      </c>
      <c r="O33" s="101">
        <f t="shared" si="44"/>
        <v>22969</v>
      </c>
      <c r="P33" s="101">
        <f t="shared" si="44"/>
        <v>21090</v>
      </c>
      <c r="Q33" s="101">
        <f t="shared" si="44"/>
        <v>20511</v>
      </c>
      <c r="R33" s="101">
        <f t="shared" si="44"/>
        <v>20511</v>
      </c>
      <c r="S33" s="130">
        <f t="shared" si="44"/>
        <v>16653</v>
      </c>
    </row>
    <row r="35" spans="1:19" x14ac:dyDescent="0.3">
      <c r="B35" s="117" t="s">
        <v>68</v>
      </c>
      <c r="I35" s="136"/>
    </row>
    <row r="36" spans="1:19" x14ac:dyDescent="0.3">
      <c r="B36" s="118" t="s">
        <v>69</v>
      </c>
    </row>
    <row r="37" spans="1:19" x14ac:dyDescent="0.3">
      <c r="B37" s="118" t="s">
        <v>70</v>
      </c>
    </row>
    <row r="38" spans="1:19" x14ac:dyDescent="0.3">
      <c r="B38" s="118" t="s">
        <v>71</v>
      </c>
    </row>
    <row r="39" spans="1:19" x14ac:dyDescent="0.3">
      <c r="B39" s="118" t="s">
        <v>72</v>
      </c>
    </row>
    <row r="40" spans="1:19" x14ac:dyDescent="0.3">
      <c r="B40" s="118" t="s">
        <v>73</v>
      </c>
    </row>
    <row r="41" spans="1:19" x14ac:dyDescent="0.3">
      <c r="B41" s="118" t="s">
        <v>74</v>
      </c>
    </row>
    <row r="42" spans="1:19" x14ac:dyDescent="0.3">
      <c r="B42" s="118" t="s">
        <v>94</v>
      </c>
    </row>
  </sheetData>
  <mergeCells count="1">
    <mergeCell ref="B2:S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Cost Schedule</vt:lpstr>
      <vt:lpstr>Deployment</vt:lpstr>
      <vt:lpstr>Wage Breakup</vt:lpstr>
      <vt:lpstr>'Cost Schedule'!Print_Area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Kumar T N - KRC</dc:creator>
  <cp:lastModifiedBy>User</cp:lastModifiedBy>
  <cp:lastPrinted>2021-07-14T15:08:56Z</cp:lastPrinted>
  <dcterms:created xsi:type="dcterms:W3CDTF">2020-01-31T10:05:12Z</dcterms:created>
  <dcterms:modified xsi:type="dcterms:W3CDTF">2021-07-23T10:25:08Z</dcterms:modified>
</cp:coreProperties>
</file>