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posals June-July 21\"/>
    </mc:Choice>
  </mc:AlternateContent>
  <xr:revisionPtr revIDLastSave="0" documentId="13_ncr:1_{917BE7E3-3DBE-4220-85E0-6BB79C6A5902}" xr6:coauthVersionLast="36" xr6:coauthVersionMax="36" xr10:uidLastSave="{00000000-0000-0000-0000-000000000000}"/>
  <bookViews>
    <workbookView xWindow="0" yWindow="0" windowWidth="20490" windowHeight="7545" activeTab="1" xr2:uid="{17E286E1-5951-4F9F-B7B5-238B2C4432B1}"/>
  </bookViews>
  <sheets>
    <sheet name="CS Mumbai " sheetId="3" r:id="rId1"/>
    <sheet name="CS Pune " sheetId="4" r:id="rId2"/>
    <sheet name="Wage breakup Mumbai " sheetId="1" r:id="rId3"/>
    <sheet name="Wage breakup Pune 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K14" i="2" s="1"/>
  <c r="K15" i="2" s="1"/>
  <c r="K8" i="2"/>
  <c r="K19" i="2" s="1"/>
  <c r="K18" i="2" l="1"/>
  <c r="K17" i="2"/>
  <c r="K20" i="2"/>
  <c r="K24" i="2"/>
  <c r="K21" i="2"/>
  <c r="N28" i="1"/>
  <c r="N29" i="1" s="1"/>
  <c r="M25" i="1"/>
  <c r="N24" i="1"/>
  <c r="N22" i="1"/>
  <c r="N21" i="1"/>
  <c r="N20" i="1"/>
  <c r="N19" i="1"/>
  <c r="N11" i="1"/>
  <c r="N16" i="1" s="1"/>
  <c r="K22" i="2" l="1"/>
  <c r="K23" i="2" s="1"/>
  <c r="K25" i="2" s="1"/>
  <c r="N26" i="1"/>
  <c r="N23" i="1"/>
  <c r="N18" i="1"/>
  <c r="N25" i="1" s="1"/>
  <c r="K27" i="2" l="1"/>
  <c r="E8" i="4" s="1"/>
  <c r="N27" i="1"/>
  <c r="N30" i="1" s="1"/>
  <c r="N32" i="1" s="1"/>
  <c r="N34" i="1" l="1"/>
  <c r="E8" i="3" s="1"/>
  <c r="K12" i="4" l="1"/>
  <c r="I9" i="4"/>
  <c r="H9" i="4"/>
  <c r="G9" i="4"/>
  <c r="F9" i="4"/>
  <c r="J8" i="4"/>
  <c r="K8" i="4" s="1"/>
  <c r="D8" i="4"/>
  <c r="C8" i="4"/>
  <c r="J7" i="4"/>
  <c r="J9" i="4" s="1"/>
  <c r="K12" i="3"/>
  <c r="I9" i="3"/>
  <c r="H9" i="3"/>
  <c r="G9" i="3"/>
  <c r="F9" i="3"/>
  <c r="J8" i="3"/>
  <c r="K8" i="3" s="1"/>
  <c r="D8" i="3"/>
  <c r="J7" i="3"/>
  <c r="J9" i="3" s="1"/>
  <c r="F11" i="2" l="1"/>
  <c r="F13" i="2" s="1"/>
  <c r="F11" i="1"/>
  <c r="F28" i="1" s="1"/>
  <c r="F17" i="2" l="1"/>
  <c r="F27" i="2" s="1"/>
  <c r="F28" i="2"/>
  <c r="F13" i="1"/>
  <c r="F17" i="1" s="1"/>
  <c r="F19" i="2" l="1"/>
  <c r="F21" i="2"/>
  <c r="F29" i="2"/>
  <c r="F25" i="2"/>
  <c r="F20" i="2"/>
  <c r="F30" i="2"/>
  <c r="F30" i="1"/>
  <c r="F25" i="1"/>
  <c r="F19" i="1"/>
  <c r="F27" i="1"/>
  <c r="F20" i="1"/>
  <c r="F21" i="1"/>
  <c r="F29" i="1"/>
  <c r="F33" i="2" l="1"/>
  <c r="F35" i="2" s="1"/>
  <c r="E7" i="4" s="1"/>
  <c r="K7" i="4" s="1"/>
  <c r="K9" i="4" s="1"/>
  <c r="K13" i="4" s="1"/>
  <c r="K14" i="4" s="1"/>
  <c r="K15" i="4" s="1"/>
  <c r="F23" i="2"/>
  <c r="F23" i="1"/>
  <c r="F33" i="1"/>
  <c r="F35" i="1" s="1"/>
  <c r="E7" i="3" s="1"/>
  <c r="K7" i="3" s="1"/>
  <c r="K9" i="3" s="1"/>
  <c r="K13" i="3" s="1"/>
  <c r="K14" i="3" s="1"/>
  <c r="K15" i="3" s="1"/>
</calcChain>
</file>

<file path=xl/sharedStrings.xml><?xml version="1.0" encoding="utf-8"?>
<sst xmlns="http://schemas.openxmlformats.org/spreadsheetml/2006/main" count="239" uniqueCount="119">
  <si>
    <t>Wage Schedule</t>
  </si>
  <si>
    <t>State - Maharashtra</t>
  </si>
  <si>
    <t>Wage - State Wage, Zone - 1</t>
  </si>
  <si>
    <t>Min. Wage Year Notification - Jan'21 to Jun'21</t>
  </si>
  <si>
    <t>HRA%</t>
  </si>
  <si>
    <t>Break ups</t>
  </si>
  <si>
    <t>S/V</t>
  </si>
  <si>
    <t>%</t>
  </si>
  <si>
    <t>Taken On</t>
  </si>
  <si>
    <t>Basic</t>
  </si>
  <si>
    <t>S</t>
  </si>
  <si>
    <t>DA</t>
  </si>
  <si>
    <t>Basic + DA</t>
  </si>
  <si>
    <t>HRA</t>
  </si>
  <si>
    <t>Washing Allowance</t>
  </si>
  <si>
    <t>V</t>
  </si>
  <si>
    <t xml:space="preserve">Other Allowances </t>
  </si>
  <si>
    <t>Gross Salary</t>
  </si>
  <si>
    <t>Professional Tax Deduction</t>
  </si>
  <si>
    <t>ESI Employee Deduction</t>
  </si>
  <si>
    <t>Gross</t>
  </si>
  <si>
    <t>P.F Employee Deduction</t>
  </si>
  <si>
    <t>Basic+DA</t>
  </si>
  <si>
    <t>Total In Hand Salary</t>
  </si>
  <si>
    <t xml:space="preserve">Mediclaim </t>
  </si>
  <si>
    <t>Ex-Gratia - Bonus</t>
  </si>
  <si>
    <t>Leave Wages  (CL, PL, SL)</t>
  </si>
  <si>
    <t xml:space="preserve">Gratuity </t>
  </si>
  <si>
    <t xml:space="preserve">Gross </t>
  </si>
  <si>
    <t xml:space="preserve">Uniform, Shoes, PPE </t>
  </si>
  <si>
    <t>Documentation &amp; BGV</t>
  </si>
  <si>
    <t>Sub Total CTC</t>
  </si>
  <si>
    <t>1/6 Reliever Charge (if applicable)</t>
  </si>
  <si>
    <t>TOTAL CTC</t>
  </si>
  <si>
    <t xml:space="preserve">Pantry/HK Boy </t>
  </si>
  <si>
    <t xml:space="preserve">Site Name - </t>
  </si>
  <si>
    <t xml:space="preserve">Godrej Housing Finance </t>
  </si>
  <si>
    <t xml:space="preserve">Proposal Date - </t>
  </si>
  <si>
    <t>City</t>
  </si>
  <si>
    <t>Sr.No.</t>
  </si>
  <si>
    <t>Unit Rate (Rs.)</t>
  </si>
  <si>
    <t>Shifts</t>
  </si>
  <si>
    <t>Remarks &amp; Shift Timings</t>
  </si>
  <si>
    <t>Soft Services</t>
  </si>
  <si>
    <t>G</t>
  </si>
  <si>
    <t>I</t>
  </si>
  <si>
    <t>II</t>
  </si>
  <si>
    <t>III</t>
  </si>
  <si>
    <t>Total No.</t>
  </si>
  <si>
    <t>Cost</t>
  </si>
  <si>
    <t>12hours x 6 Days a Week</t>
  </si>
  <si>
    <t>Sub - Total</t>
  </si>
  <si>
    <t>Consumables, Machinery, AMCs &amp; Miscellaneous</t>
  </si>
  <si>
    <t>Chemicals &amp; Consumables &amp;Machinery</t>
  </si>
  <si>
    <t>LS</t>
  </si>
  <si>
    <t>Billing At Actuals as per SILA Rate Card</t>
  </si>
  <si>
    <t>Total Cost</t>
  </si>
  <si>
    <t>Management Fees</t>
  </si>
  <si>
    <t>Terms</t>
  </si>
  <si>
    <t>Taxes as applicable</t>
  </si>
  <si>
    <t>Revision in rates will be deemed approved as per the Minimum Wage Notification from the date thereof</t>
  </si>
  <si>
    <t>SILA will provide statutory documentation each month</t>
  </si>
  <si>
    <t>Invoices will sent by the 3rd, verification by client by the 5th and payments to be released by the end of each month</t>
  </si>
  <si>
    <t>Work on Statutory Holidays will be billed 3x as per norms - 26th January, 15th August, 2nd October</t>
  </si>
  <si>
    <t>Overtime (If required) will be billed as per the OT rates mentioned in the wage Breakup</t>
  </si>
  <si>
    <t>Mumbai</t>
  </si>
  <si>
    <t>Pune</t>
  </si>
  <si>
    <t>HK/Pantry Staff</t>
  </si>
  <si>
    <t xml:space="preserve">HK/Pantry Boy </t>
  </si>
  <si>
    <t>Category Civilian</t>
  </si>
  <si>
    <t>Security Guard</t>
  </si>
  <si>
    <t>Hours</t>
  </si>
  <si>
    <t>12 Hrs</t>
  </si>
  <si>
    <t>Conveyance Allowance</t>
  </si>
  <si>
    <t>LTA</t>
  </si>
  <si>
    <t>Education Allowance</t>
  </si>
  <si>
    <t xml:space="preserve">Gross Salary For 8Hrs </t>
  </si>
  <si>
    <t>Statutory Obligation</t>
  </si>
  <si>
    <t>Prov.Fund</t>
  </si>
  <si>
    <t>Bonus</t>
  </si>
  <si>
    <t>Gratuity Fund</t>
  </si>
  <si>
    <t>Leave with wages</t>
  </si>
  <si>
    <t>Paid Holidays</t>
  </si>
  <si>
    <t>E.S.I.C</t>
  </si>
  <si>
    <t>Uniform fund</t>
  </si>
  <si>
    <t>Total SO</t>
  </si>
  <si>
    <t>Liasioning / Training &amp; Supervison</t>
  </si>
  <si>
    <t>Sub Total for 8 Hrs 26 Days</t>
  </si>
  <si>
    <t>Additional 4 Hrs</t>
  </si>
  <si>
    <t>ESIC On OT</t>
  </si>
  <si>
    <t>Sub Total for 12 Hrs 26 Days</t>
  </si>
  <si>
    <t>1/6th Relieving Charges</t>
  </si>
  <si>
    <t>Total for 12 Hrs 30 Days</t>
  </si>
  <si>
    <t>Grand total</t>
  </si>
  <si>
    <t xml:space="preserve">Security Services </t>
  </si>
  <si>
    <t>Documentation, Training, Admin &amp; Misc Charges</t>
  </si>
  <si>
    <t>9hours x 6 Days a Week</t>
  </si>
  <si>
    <t>9 hours x 6 Days a Week</t>
  </si>
  <si>
    <t>As per SGB - Pune</t>
  </si>
  <si>
    <t>W.e.f 01.01.2021</t>
  </si>
  <si>
    <t>Particulars / Heads</t>
  </si>
  <si>
    <t>Security Guard (12 Hrs)</t>
  </si>
  <si>
    <t>D. A.</t>
  </si>
  <si>
    <t>Sub Total A</t>
  </si>
  <si>
    <t>Allowance</t>
  </si>
  <si>
    <t>HRA @ 15% on Basic, DA</t>
  </si>
  <si>
    <t>Educational Allowance</t>
  </si>
  <si>
    <t>Sub Total B</t>
  </si>
  <si>
    <t>Total A+B</t>
  </si>
  <si>
    <t>Monthly Liabilities</t>
  </si>
  <si>
    <t>P. F. @ 13%</t>
  </si>
  <si>
    <t>ESIC @ 3.25%</t>
  </si>
  <si>
    <t>Bonus @ 8.33%</t>
  </si>
  <si>
    <t>Leave with wages @ 4%</t>
  </si>
  <si>
    <t>Paid Holiday @ 1%</t>
  </si>
  <si>
    <t>Total Liabilities</t>
  </si>
  <si>
    <t xml:space="preserve">Total </t>
  </si>
  <si>
    <t>Additional 4 Hours</t>
  </si>
  <si>
    <t xml:space="preserve">National Holidays to be chargen on actuals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</si>
</sst>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protection locked="0"/>
    </xf>
    <xf numFmtId="0" fontId="5" fillId="0" borderId="0">
      <alignment vertical="center"/>
    </xf>
    <xf numFmtId="164" fontId="2" fillId="0" borderId="0">
      <alignment vertical="top"/>
      <protection locked="0"/>
    </xf>
    <xf numFmtId="9" fontId="2" fillId="0" borderId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0" fontId="12" fillId="0" borderId="0"/>
    <xf numFmtId="0" fontId="2" fillId="0" borderId="0"/>
  </cellStyleXfs>
  <cellXfs count="170">
    <xf numFmtId="0" fontId="0" fillId="0" borderId="0" xfId="0"/>
    <xf numFmtId="0" fontId="3" fillId="0" borderId="0" xfId="4" applyFont="1" applyProtection="1"/>
    <xf numFmtId="0" fontId="4" fillId="0" borderId="0" xfId="4" applyFont="1" applyAlignment="1" applyProtection="1">
      <alignment horizontal="center" vertical="center"/>
    </xf>
    <xf numFmtId="0" fontId="5" fillId="0" borderId="0" xfId="5">
      <alignment vertical="center"/>
    </xf>
    <xf numFmtId="0" fontId="6" fillId="0" borderId="3" xfId="4" applyFont="1" applyFill="1" applyBorder="1" applyAlignment="1" applyProtection="1"/>
    <xf numFmtId="0" fontId="6" fillId="0" borderId="3" xfId="4" applyFont="1" applyFill="1" applyBorder="1" applyProtection="1"/>
    <xf numFmtId="0" fontId="6" fillId="3" borderId="1" xfId="4" applyFont="1" applyFill="1" applyBorder="1" applyAlignment="1" applyProtection="1">
      <alignment horizontal="center" vertical="center"/>
    </xf>
    <xf numFmtId="9" fontId="6" fillId="3" borderId="1" xfId="3" applyFont="1" applyFill="1" applyBorder="1" applyAlignment="1" applyProtection="1">
      <alignment horizontal="center" vertical="center"/>
    </xf>
    <xf numFmtId="0" fontId="6" fillId="3" borderId="12" xfId="4" applyFont="1" applyFill="1" applyBorder="1" applyAlignment="1" applyProtection="1">
      <alignment horizontal="center" vertical="center"/>
    </xf>
    <xf numFmtId="0" fontId="6" fillId="3" borderId="12" xfId="4" applyFont="1" applyFill="1" applyBorder="1" applyAlignment="1" applyProtection="1">
      <alignment horizontal="center" vertical="center" wrapText="1"/>
    </xf>
    <xf numFmtId="0" fontId="7" fillId="3" borderId="12" xfId="4" applyFont="1" applyFill="1" applyBorder="1" applyAlignment="1" applyProtection="1">
      <alignment horizontal="center" vertical="center" wrapText="1"/>
    </xf>
    <xf numFmtId="0" fontId="6" fillId="0" borderId="1" xfId="4" applyFont="1" applyFill="1" applyBorder="1" applyAlignment="1" applyProtection="1">
      <alignment horizontal="center" vertical="center"/>
    </xf>
    <xf numFmtId="0" fontId="6" fillId="0" borderId="12" xfId="4" applyFont="1" applyFill="1" applyBorder="1" applyAlignment="1" applyProtection="1">
      <alignment horizontal="center" vertical="center"/>
    </xf>
    <xf numFmtId="0" fontId="6" fillId="0" borderId="12" xfId="4" applyFont="1" applyFill="1" applyBorder="1" applyAlignment="1" applyProtection="1">
      <alignment horizontal="center" vertical="center" wrapText="1"/>
    </xf>
    <xf numFmtId="9" fontId="7" fillId="0" borderId="12" xfId="4" applyNumberFormat="1" applyFont="1" applyFill="1" applyBorder="1" applyAlignment="1" applyProtection="1">
      <alignment horizontal="center" vertical="center" wrapText="1"/>
    </xf>
    <xf numFmtId="0" fontId="8" fillId="0" borderId="1" xfId="4" applyFont="1" applyFill="1" applyBorder="1" applyProtection="1"/>
    <xf numFmtId="0" fontId="8" fillId="0" borderId="1" xfId="4" applyFont="1" applyFill="1" applyBorder="1" applyAlignment="1" applyProtection="1">
      <alignment horizontal="center"/>
    </xf>
    <xf numFmtId="0" fontId="8" fillId="0" borderId="1" xfId="4" applyFont="1" applyFill="1" applyBorder="1" applyAlignment="1" applyProtection="1">
      <alignment wrapText="1"/>
    </xf>
    <xf numFmtId="3" fontId="8" fillId="0" borderId="1" xfId="6" applyNumberFormat="1" applyFont="1" applyFill="1" applyBorder="1" applyAlignment="1" applyProtection="1">
      <alignment horizontal="center" vertical="center"/>
    </xf>
    <xf numFmtId="3" fontId="3" fillId="0" borderId="0" xfId="4" applyNumberFormat="1" applyFont="1" applyProtection="1"/>
    <xf numFmtId="0" fontId="6" fillId="0" borderId="1" xfId="4" applyFont="1" applyFill="1" applyBorder="1" applyProtection="1"/>
    <xf numFmtId="0" fontId="6" fillId="0" borderId="1" xfId="4" applyFont="1" applyFill="1" applyBorder="1" applyAlignment="1" applyProtection="1">
      <alignment horizontal="center"/>
    </xf>
    <xf numFmtId="0" fontId="6" fillId="0" borderId="1" xfId="4" applyFont="1" applyFill="1" applyBorder="1" applyAlignment="1" applyProtection="1">
      <alignment wrapText="1"/>
    </xf>
    <xf numFmtId="3" fontId="6" fillId="0" borderId="1" xfId="6" applyNumberFormat="1" applyFont="1" applyFill="1" applyBorder="1" applyAlignment="1" applyProtection="1">
      <alignment horizontal="center" vertical="center"/>
    </xf>
    <xf numFmtId="0" fontId="8" fillId="0" borderId="1" xfId="4" applyFont="1" applyFill="1" applyBorder="1" applyAlignment="1" applyProtection="1">
      <alignment horizontal="left" vertical="center" wrapText="1"/>
    </xf>
    <xf numFmtId="10" fontId="8" fillId="0" borderId="1" xfId="7" applyNumberFormat="1" applyFont="1" applyFill="1" applyBorder="1" applyAlignment="1" applyProtection="1">
      <alignment horizontal="center" vertical="center"/>
    </xf>
    <xf numFmtId="10" fontId="8" fillId="0" borderId="1" xfId="7" applyNumberFormat="1" applyFont="1" applyFill="1" applyBorder="1" applyAlignment="1" applyProtection="1">
      <alignment horizontal="center" vertical="center" wrapText="1"/>
    </xf>
    <xf numFmtId="0" fontId="3" fillId="0" borderId="1" xfId="4" applyFont="1" applyBorder="1" applyProtection="1"/>
    <xf numFmtId="0" fontId="6" fillId="0" borderId="1" xfId="4" applyFont="1" applyFill="1" applyBorder="1" applyAlignment="1" applyProtection="1">
      <alignment horizontal="center" vertical="center" wrapText="1"/>
    </xf>
    <xf numFmtId="0" fontId="6" fillId="3" borderId="1" xfId="4" applyFont="1" applyFill="1" applyBorder="1" applyProtection="1"/>
    <xf numFmtId="0" fontId="6" fillId="3" borderId="1" xfId="4" applyFont="1" applyFill="1" applyBorder="1" applyAlignment="1" applyProtection="1">
      <alignment horizontal="center"/>
    </xf>
    <xf numFmtId="0" fontId="6" fillId="3" borderId="1" xfId="4" applyFont="1" applyFill="1" applyBorder="1" applyAlignment="1" applyProtection="1">
      <alignment horizontal="center" vertical="center" wrapText="1"/>
    </xf>
    <xf numFmtId="3" fontId="6" fillId="3" borderId="1" xfId="6" applyNumberFormat="1" applyFont="1" applyFill="1" applyBorder="1" applyAlignment="1" applyProtection="1">
      <alignment horizontal="center" vertical="center"/>
    </xf>
    <xf numFmtId="12" fontId="8" fillId="0" borderId="1" xfId="7" applyNumberFormat="1" applyFont="1" applyFill="1" applyBorder="1" applyAlignment="1" applyProtection="1">
      <alignment horizontal="center" vertical="center"/>
    </xf>
    <xf numFmtId="0" fontId="6" fillId="3" borderId="1" xfId="4" applyFont="1" applyFill="1" applyBorder="1" applyAlignment="1" applyProtection="1">
      <alignment wrapText="1"/>
    </xf>
    <xf numFmtId="0" fontId="3" fillId="0" borderId="0" xfId="4" applyFont="1" applyAlignment="1" applyProtection="1">
      <alignment horizontal="center"/>
    </xf>
    <xf numFmtId="0" fontId="8" fillId="0" borderId="0" xfId="0" applyFont="1" applyAlignment="1">
      <alignment horizontal="center"/>
    </xf>
    <xf numFmtId="165" fontId="8" fillId="0" borderId="0" xfId="1" applyNumberFormat="1" applyFont="1" applyAlignment="1">
      <alignment horizontal="center" vertical="center"/>
    </xf>
    <xf numFmtId="0" fontId="8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41" fontId="6" fillId="0" borderId="5" xfId="2" applyFont="1" applyFill="1" applyBorder="1" applyAlignment="1">
      <alignment vertical="center"/>
    </xf>
    <xf numFmtId="165" fontId="6" fillId="0" borderId="5" xfId="1" applyNumberFormat="1" applyFont="1" applyFill="1" applyBorder="1" applyAlignment="1">
      <alignment horizontal="center" vertical="center"/>
    </xf>
    <xf numFmtId="165" fontId="6" fillId="0" borderId="6" xfId="1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41" fontId="6" fillId="0" borderId="0" xfId="2" applyFont="1" applyFill="1" applyBorder="1" applyAlignment="1">
      <alignment vertical="center"/>
    </xf>
    <xf numFmtId="165" fontId="6" fillId="0" borderId="0" xfId="1" applyNumberFormat="1" applyFont="1" applyFill="1" applyBorder="1" applyAlignment="1">
      <alignment horizontal="center" vertical="center"/>
    </xf>
    <xf numFmtId="165" fontId="6" fillId="0" borderId="8" xfId="1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41" fontId="6" fillId="0" borderId="10" xfId="2" applyFont="1" applyFill="1" applyBorder="1" applyAlignment="1">
      <alignment vertical="center"/>
    </xf>
    <xf numFmtId="165" fontId="6" fillId="0" borderId="10" xfId="1" applyNumberFormat="1" applyFont="1" applyFill="1" applyBorder="1" applyAlignment="1">
      <alignment horizontal="center" vertical="center"/>
    </xf>
    <xf numFmtId="165" fontId="6" fillId="0" borderId="11" xfId="1" applyNumberFormat="1" applyFont="1" applyFill="1" applyBorder="1" applyAlignment="1">
      <alignment horizontal="center" vertical="center"/>
    </xf>
    <xf numFmtId="0" fontId="6" fillId="3" borderId="12" xfId="8" applyFont="1" applyFill="1" applyBorder="1" applyAlignment="1">
      <alignment horizontal="center" vertical="center"/>
    </xf>
    <xf numFmtId="0" fontId="6" fillId="3" borderId="12" xfId="8" applyFont="1" applyFill="1" applyBorder="1" applyAlignment="1">
      <alignment horizontal="left" vertical="center"/>
    </xf>
    <xf numFmtId="41" fontId="6" fillId="3" borderId="12" xfId="2" applyFont="1" applyFill="1" applyBorder="1" applyAlignment="1">
      <alignment horizontal="center" vertical="center"/>
    </xf>
    <xf numFmtId="165" fontId="10" fillId="3" borderId="12" xfId="3" applyNumberFormat="1" applyFont="1" applyFill="1" applyBorder="1" applyAlignment="1">
      <alignment vertical="center"/>
    </xf>
    <xf numFmtId="165" fontId="6" fillId="3" borderId="12" xfId="3" applyNumberFormat="1" applyFont="1" applyFill="1" applyBorder="1" applyAlignment="1">
      <alignment vertical="center"/>
    </xf>
    <xf numFmtId="165" fontId="6" fillId="2" borderId="1" xfId="9" applyNumberFormat="1" applyFont="1" applyFill="1" applyBorder="1" applyAlignment="1">
      <alignment horizontal="center" vertical="top"/>
    </xf>
    <xf numFmtId="165" fontId="6" fillId="2" borderId="1" xfId="9" applyNumberFormat="1" applyFont="1" applyFill="1" applyBorder="1" applyAlignment="1">
      <alignment horizontal="left" vertical="top" wrapText="1"/>
    </xf>
    <xf numFmtId="41" fontId="6" fillId="2" borderId="1" xfId="2" applyFont="1" applyFill="1" applyBorder="1" applyAlignment="1">
      <alignment horizontal="center" vertical="top"/>
    </xf>
    <xf numFmtId="165" fontId="6" fillId="2" borderId="1" xfId="1" applyNumberFormat="1" applyFont="1" applyFill="1" applyBorder="1" applyAlignment="1">
      <alignment horizontal="center" vertical="center"/>
    </xf>
    <xf numFmtId="1" fontId="6" fillId="2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8" fillId="4" borderId="1" xfId="8" applyFont="1" applyFill="1" applyBorder="1" applyAlignment="1">
      <alignment horizontal="center" vertical="center"/>
    </xf>
    <xf numFmtId="0" fontId="8" fillId="4" borderId="1" xfId="8" applyFont="1" applyFill="1" applyBorder="1" applyAlignment="1">
      <alignment horizontal="left" vertical="center" wrapText="1"/>
    </xf>
    <xf numFmtId="41" fontId="8" fillId="4" borderId="1" xfId="2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66" fontId="9" fillId="0" borderId="0" xfId="0" applyNumberFormat="1" applyFont="1"/>
    <xf numFmtId="41" fontId="6" fillId="3" borderId="1" xfId="2" applyFont="1" applyFill="1" applyBorder="1" applyAlignment="1">
      <alignment horizontal="center"/>
    </xf>
    <xf numFmtId="165" fontId="6" fillId="3" borderId="1" xfId="1" applyNumberFormat="1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8" fillId="0" borderId="1" xfId="8" applyFont="1" applyBorder="1" applyAlignment="1">
      <alignment horizontal="center" vertical="center"/>
    </xf>
    <xf numFmtId="2" fontId="8" fillId="4" borderId="1" xfId="8" applyNumberFormat="1" applyFont="1" applyFill="1" applyBorder="1" applyAlignment="1">
      <alignment horizontal="left" vertical="center"/>
    </xf>
    <xf numFmtId="41" fontId="8" fillId="0" borderId="1" xfId="2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vertical="center"/>
    </xf>
    <xf numFmtId="165" fontId="8" fillId="4" borderId="1" xfId="1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165" fontId="6" fillId="3" borderId="1" xfId="1" applyNumberFormat="1" applyFont="1" applyFill="1" applyBorder="1" applyAlignment="1">
      <alignment horizontal="center"/>
    </xf>
    <xf numFmtId="41" fontId="6" fillId="2" borderId="1" xfId="2" applyFont="1" applyFill="1" applyBorder="1" applyAlignment="1">
      <alignment horizontal="center"/>
    </xf>
    <xf numFmtId="165" fontId="6" fillId="2" borderId="1" xfId="1" applyNumberFormat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0" fontId="11" fillId="0" borderId="0" xfId="0" applyFont="1"/>
    <xf numFmtId="9" fontId="6" fillId="2" borderId="1" xfId="2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41" fontId="8" fillId="0" borderId="0" xfId="2" applyFont="1" applyAlignment="1">
      <alignment horizontal="center"/>
    </xf>
    <xf numFmtId="3" fontId="13" fillId="0" borderId="0" xfId="10" applyNumberFormat="1" applyFont="1" applyFill="1" applyBorder="1" applyAlignment="1">
      <alignment vertical="center"/>
    </xf>
    <xf numFmtId="9" fontId="8" fillId="0" borderId="0" xfId="3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vertical="center"/>
    </xf>
    <xf numFmtId="0" fontId="15" fillId="7" borderId="16" xfId="11" applyFont="1" applyFill="1" applyBorder="1" applyAlignment="1">
      <alignment horizontal="center" vertical="center" wrapText="1"/>
    </xf>
    <xf numFmtId="0" fontId="15" fillId="7" borderId="15" xfId="11" applyFont="1" applyFill="1" applyBorder="1" applyAlignment="1">
      <alignment horizontal="center" vertical="center" wrapText="1"/>
    </xf>
    <xf numFmtId="0" fontId="16" fillId="8" borderId="17" xfId="11" applyFont="1" applyFill="1" applyBorder="1" applyAlignment="1">
      <alignment horizontal="center" wrapText="1"/>
    </xf>
    <xf numFmtId="0" fontId="16" fillId="8" borderId="10" xfId="11" applyFont="1" applyFill="1" applyBorder="1" applyAlignment="1">
      <alignment horizontal="center" vertical="center" wrapText="1"/>
    </xf>
    <xf numFmtId="0" fontId="16" fillId="0" borderId="18" xfId="11" applyFont="1" applyBorder="1"/>
    <xf numFmtId="0" fontId="16" fillId="0" borderId="19" xfId="11" applyFont="1" applyBorder="1" applyAlignment="1">
      <alignment horizontal="center" vertical="center"/>
    </xf>
    <xf numFmtId="43" fontId="17" fillId="0" borderId="18" xfId="1" applyFont="1" applyBorder="1" applyAlignment="1">
      <alignment horizontal="right"/>
    </xf>
    <xf numFmtId="43" fontId="16" fillId="0" borderId="18" xfId="1" applyFont="1" applyFill="1" applyBorder="1" applyAlignment="1">
      <alignment horizontal="right"/>
    </xf>
    <xf numFmtId="0" fontId="17" fillId="0" borderId="18" xfId="11" applyFont="1" applyBorder="1"/>
    <xf numFmtId="0" fontId="16" fillId="0" borderId="16" xfId="11" applyFont="1" applyBorder="1"/>
    <xf numFmtId="0" fontId="16" fillId="0" borderId="15" xfId="11" applyFont="1" applyBorder="1" applyAlignment="1">
      <alignment horizontal="center" vertical="center"/>
    </xf>
    <xf numFmtId="43" fontId="16" fillId="0" borderId="16" xfId="1" applyFont="1" applyBorder="1" applyAlignment="1">
      <alignment horizontal="right"/>
    </xf>
    <xf numFmtId="0" fontId="16" fillId="9" borderId="16" xfId="11" applyFont="1" applyFill="1" applyBorder="1"/>
    <xf numFmtId="10" fontId="16" fillId="9" borderId="15" xfId="11" applyNumberFormat="1" applyFont="1" applyFill="1" applyBorder="1" applyAlignment="1">
      <alignment horizontal="center" vertical="center"/>
    </xf>
    <xf numFmtId="43" fontId="17" fillId="9" borderId="16" xfId="1" applyFont="1" applyFill="1" applyBorder="1" applyAlignment="1">
      <alignment horizontal="right"/>
    </xf>
    <xf numFmtId="0" fontId="17" fillId="0" borderId="17" xfId="11" applyFont="1" applyBorder="1"/>
    <xf numFmtId="0" fontId="16" fillId="0" borderId="10" xfId="11" applyFont="1" applyBorder="1" applyAlignment="1">
      <alignment horizontal="center" vertical="center"/>
    </xf>
    <xf numFmtId="43" fontId="17" fillId="0" borderId="17" xfId="1" applyFont="1" applyBorder="1" applyAlignment="1">
      <alignment horizontal="right"/>
    </xf>
    <xf numFmtId="0" fontId="16" fillId="10" borderId="20" xfId="11" applyFont="1" applyFill="1" applyBorder="1"/>
    <xf numFmtId="2" fontId="16" fillId="10" borderId="21" xfId="11" applyNumberFormat="1" applyFont="1" applyFill="1" applyBorder="1" applyAlignment="1">
      <alignment horizontal="center" vertical="center"/>
    </xf>
    <xf numFmtId="43" fontId="17" fillId="10" borderId="20" xfId="1" applyFont="1" applyFill="1" applyBorder="1" applyAlignment="1">
      <alignment horizontal="right"/>
    </xf>
    <xf numFmtId="0" fontId="15" fillId="0" borderId="16" xfId="0" applyFont="1" applyBorder="1" applyAlignment="1">
      <alignment vertical="center"/>
    </xf>
    <xf numFmtId="0" fontId="17" fillId="0" borderId="15" xfId="11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16" fillId="0" borderId="5" xfId="11" applyFont="1" applyBorder="1" applyAlignment="1">
      <alignment horizontal="center" vertical="center"/>
    </xf>
    <xf numFmtId="43" fontId="17" fillId="0" borderId="22" xfId="1" applyFont="1" applyBorder="1" applyAlignment="1">
      <alignment horizontal="right"/>
    </xf>
    <xf numFmtId="0" fontId="15" fillId="11" borderId="16" xfId="0" applyFont="1" applyFill="1" applyBorder="1" applyAlignment="1">
      <alignment vertical="center"/>
    </xf>
    <xf numFmtId="0" fontId="16" fillId="11" borderId="15" xfId="11" applyFont="1" applyFill="1" applyBorder="1" applyAlignment="1">
      <alignment horizontal="center" vertical="center"/>
    </xf>
    <xf numFmtId="43" fontId="16" fillId="11" borderId="16" xfId="1" applyFont="1" applyFill="1" applyBorder="1" applyAlignment="1">
      <alignment horizontal="right"/>
    </xf>
    <xf numFmtId="0" fontId="15" fillId="0" borderId="23" xfId="0" applyFont="1" applyBorder="1" applyAlignment="1">
      <alignment vertical="center"/>
    </xf>
    <xf numFmtId="0" fontId="16" fillId="0" borderId="0" xfId="11" applyFont="1" applyAlignment="1">
      <alignment horizontal="center" vertical="center"/>
    </xf>
    <xf numFmtId="43" fontId="16" fillId="0" borderId="23" xfId="1" applyFont="1" applyBorder="1" applyAlignment="1">
      <alignment horizontal="right"/>
    </xf>
    <xf numFmtId="0" fontId="17" fillId="4" borderId="17" xfId="11" applyFont="1" applyFill="1" applyBorder="1"/>
    <xf numFmtId="10" fontId="16" fillId="4" borderId="10" xfId="11" applyNumberFormat="1" applyFont="1" applyFill="1" applyBorder="1" applyAlignment="1">
      <alignment horizontal="center" vertical="center"/>
    </xf>
    <xf numFmtId="0" fontId="16" fillId="12" borderId="24" xfId="11" applyFont="1" applyFill="1" applyBorder="1" applyAlignment="1">
      <alignment horizontal="left"/>
    </xf>
    <xf numFmtId="0" fontId="16" fillId="12" borderId="25" xfId="11" applyFont="1" applyFill="1" applyBorder="1" applyAlignment="1">
      <alignment horizontal="center" vertical="center"/>
    </xf>
    <xf numFmtId="43" fontId="16" fillId="12" borderId="24" xfId="1" applyFont="1" applyFill="1" applyBorder="1" applyAlignment="1">
      <alignment horizontal="right"/>
    </xf>
    <xf numFmtId="0" fontId="15" fillId="13" borderId="14" xfId="0" applyFont="1" applyFill="1" applyBorder="1"/>
    <xf numFmtId="0" fontId="15" fillId="0" borderId="16" xfId="0" applyFont="1" applyBorder="1" applyAlignment="1">
      <alignment horizontal="center"/>
    </xf>
    <xf numFmtId="0" fontId="16" fillId="0" borderId="14" xfId="0" applyFont="1" applyBorder="1" applyAlignment="1">
      <alignment wrapText="1"/>
    </xf>
    <xf numFmtId="0" fontId="16" fillId="4" borderId="16" xfId="0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wrapText="1"/>
    </xf>
    <xf numFmtId="43" fontId="17" fillId="4" borderId="17" xfId="0" applyNumberFormat="1" applyFont="1" applyFill="1" applyBorder="1" applyAlignment="1">
      <alignment horizontal="right" wrapText="1"/>
    </xf>
    <xf numFmtId="0" fontId="17" fillId="0" borderId="27" xfId="0" applyFont="1" applyBorder="1" applyAlignment="1">
      <alignment wrapText="1"/>
    </xf>
    <xf numFmtId="43" fontId="17" fillId="4" borderId="18" xfId="0" applyNumberFormat="1" applyFont="1" applyFill="1" applyBorder="1" applyAlignment="1">
      <alignment horizontal="right" wrapText="1"/>
    </xf>
    <xf numFmtId="0" fontId="16" fillId="0" borderId="27" xfId="0" applyFont="1" applyBorder="1" applyAlignment="1">
      <alignment wrapText="1"/>
    </xf>
    <xf numFmtId="43" fontId="16" fillId="4" borderId="18" xfId="0" applyNumberFormat="1" applyFont="1" applyFill="1" applyBorder="1" applyAlignment="1">
      <alignment horizontal="right" wrapText="1"/>
    </xf>
    <xf numFmtId="0" fontId="0" fillId="0" borderId="27" xfId="0" applyFont="1" applyBorder="1" applyAlignment="1">
      <alignment vertical="center"/>
    </xf>
    <xf numFmtId="43" fontId="17" fillId="0" borderId="18" xfId="0" applyNumberFormat="1" applyFont="1" applyBorder="1" applyAlignment="1">
      <alignment horizontal="right" wrapText="1"/>
    </xf>
    <xf numFmtId="4" fontId="16" fillId="4" borderId="18" xfId="0" applyNumberFormat="1" applyFont="1" applyFill="1" applyBorder="1" applyAlignment="1">
      <alignment horizontal="right" wrapText="1"/>
    </xf>
    <xf numFmtId="4" fontId="17" fillId="4" borderId="18" xfId="0" applyNumberFormat="1" applyFont="1" applyFill="1" applyBorder="1" applyAlignment="1">
      <alignment horizontal="right" wrapText="1"/>
    </xf>
    <xf numFmtId="43" fontId="17" fillId="4" borderId="22" xfId="0" applyNumberFormat="1" applyFont="1" applyFill="1" applyBorder="1" applyAlignment="1">
      <alignment horizontal="right" wrapText="1"/>
    </xf>
    <xf numFmtId="4" fontId="16" fillId="13" borderId="16" xfId="0" applyNumberFormat="1" applyFont="1" applyFill="1" applyBorder="1" applyAlignment="1">
      <alignment horizontal="right" wrapText="1"/>
    </xf>
    <xf numFmtId="165" fontId="6" fillId="2" borderId="3" xfId="9" applyNumberFormat="1" applyFont="1" applyFill="1" applyBorder="1" applyAlignment="1">
      <alignment horizontal="center"/>
    </xf>
    <xf numFmtId="165" fontId="6" fillId="2" borderId="13" xfId="9" applyNumberFormat="1" applyFont="1" applyFill="1" applyBorder="1" applyAlignment="1">
      <alignment horizontal="center"/>
    </xf>
    <xf numFmtId="165" fontId="6" fillId="5" borderId="1" xfId="1" applyNumberFormat="1" applyFont="1" applyFill="1" applyBorder="1" applyAlignment="1">
      <alignment horizontal="center"/>
    </xf>
    <xf numFmtId="0" fontId="8" fillId="0" borderId="0" xfId="0" applyFont="1" applyAlignment="1"/>
    <xf numFmtId="165" fontId="6" fillId="3" borderId="12" xfId="1" applyNumberFormat="1" applyFont="1" applyFill="1" applyBorder="1" applyAlignment="1">
      <alignment horizontal="center" vertical="center"/>
    </xf>
    <xf numFmtId="0" fontId="6" fillId="3" borderId="1" xfId="8" applyFont="1" applyFill="1" applyBorder="1" applyAlignment="1">
      <alignment horizontal="left" vertical="center"/>
    </xf>
    <xf numFmtId="165" fontId="6" fillId="3" borderId="3" xfId="9" applyNumberFormat="1" applyFont="1" applyFill="1" applyBorder="1" applyAlignment="1">
      <alignment horizontal="left"/>
    </xf>
    <xf numFmtId="165" fontId="6" fillId="3" borderId="13" xfId="9" applyNumberFormat="1" applyFont="1" applyFill="1" applyBorder="1" applyAlignment="1">
      <alignment horizontal="left"/>
    </xf>
    <xf numFmtId="165" fontId="6" fillId="3" borderId="1" xfId="1" applyNumberFormat="1" applyFont="1" applyFill="1" applyBorder="1" applyAlignment="1">
      <alignment horizontal="center"/>
    </xf>
    <xf numFmtId="0" fontId="6" fillId="2" borderId="1" xfId="4" applyFont="1" applyFill="1" applyBorder="1" applyAlignment="1" applyProtection="1">
      <alignment horizontal="center"/>
    </xf>
    <xf numFmtId="0" fontId="6" fillId="2" borderId="2" xfId="4" applyFont="1" applyFill="1" applyBorder="1" applyAlignment="1" applyProtection="1">
      <alignment horizontal="center"/>
    </xf>
    <xf numFmtId="0" fontId="6" fillId="0" borderId="4" xfId="4" applyFont="1" applyFill="1" applyBorder="1" applyAlignment="1" applyProtection="1">
      <alignment horizontal="center"/>
    </xf>
    <xf numFmtId="0" fontId="6" fillId="0" borderId="5" xfId="4" applyFont="1" applyFill="1" applyBorder="1" applyAlignment="1" applyProtection="1">
      <alignment horizontal="center"/>
    </xf>
    <xf numFmtId="0" fontId="6" fillId="0" borderId="7" xfId="4" applyFont="1" applyFill="1" applyBorder="1" applyAlignment="1" applyProtection="1">
      <alignment horizontal="center"/>
    </xf>
    <xf numFmtId="0" fontId="6" fillId="0" borderId="0" xfId="4" applyFont="1" applyFill="1" applyBorder="1" applyAlignment="1" applyProtection="1">
      <alignment horizontal="center"/>
    </xf>
    <xf numFmtId="0" fontId="6" fillId="0" borderId="9" xfId="4" applyFont="1" applyFill="1" applyBorder="1" applyAlignment="1" applyProtection="1">
      <alignment horizontal="center"/>
    </xf>
    <xf numFmtId="0" fontId="6" fillId="0" borderId="10" xfId="4" applyFont="1" applyFill="1" applyBorder="1" applyAlignment="1" applyProtection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15" xfId="0" applyFont="1" applyFill="1" applyBorder="1" applyAlignment="1">
      <alignment horizontal="center"/>
    </xf>
  </cellXfs>
  <cellStyles count="12">
    <cellStyle name="Comma" xfId="1" builtinId="3"/>
    <cellStyle name="Comma [0]" xfId="2" builtinId="6"/>
    <cellStyle name="Comma 11 2" xfId="6" xr:uid="{75BCC4AB-64AE-41B8-9073-678FA6D46544}"/>
    <cellStyle name="Comma 2" xfId="9" xr:uid="{F0A7BA14-7640-4351-A755-8CCD1AB3A978}"/>
    <cellStyle name="Normal" xfId="0" builtinId="0"/>
    <cellStyle name="Normal 2 2" xfId="11" xr:uid="{F540A9A4-D7B7-42F3-A750-39319F61CCBC}"/>
    <cellStyle name="Normal 2 2 2" xfId="4" xr:uid="{C9270F1A-426D-4525-839D-03C56C9E0D43}"/>
    <cellStyle name="Normal 2 3" xfId="10" xr:uid="{808F787F-D8F1-447C-BA64-D2D517A8430F}"/>
    <cellStyle name="Normal 3" xfId="5" xr:uid="{F173769B-3C31-43F0-B433-23E7F54F1B4F}"/>
    <cellStyle name="Normal 5" xfId="8" xr:uid="{FE98B495-5C46-4E48-98D4-43203CABFCC9}"/>
    <cellStyle name="Percent" xfId="3" builtinId="5"/>
    <cellStyle name="Percent 2" xfId="7" xr:uid="{A603E223-26E5-4948-8FB7-89A0718C8D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Godrej%20HF%20Gurgaon%20-%20SILA%20Cost%20Schedule%202106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chedule (Gurgaon)"/>
      <sheetName val="Cost Schedule (Bang)"/>
      <sheetName val="Wage Breakup Gurgaon"/>
      <sheetName val="Wage Breakup Bang"/>
    </sheetNames>
    <sheetDataSet>
      <sheetData sheetId="0"/>
      <sheetData sheetId="1"/>
      <sheetData sheetId="2">
        <row r="4">
          <cell r="D4" t="str">
            <v>Pantry cum HK Boy</v>
          </cell>
          <cell r="E4" t="str">
            <v>Security Guard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1D5C-9FB2-424B-801C-D6FBD515C703}">
  <sheetPr>
    <pageSetUpPr fitToPage="1"/>
  </sheetPr>
  <dimension ref="C1:N25"/>
  <sheetViews>
    <sheetView topLeftCell="A7" workbookViewId="0">
      <selection activeCell="G23" sqref="G23"/>
    </sheetView>
  </sheetViews>
  <sheetFormatPr defaultColWidth="9.140625" defaultRowHeight="12.75" outlineLevelCol="1" x14ac:dyDescent="0.2"/>
  <cols>
    <col min="1" max="1" width="9.140625" style="41"/>
    <col min="2" max="2" width="3.140625" style="41" customWidth="1"/>
    <col min="3" max="3" width="14.5703125" style="36" bestFit="1" customWidth="1"/>
    <col min="4" max="4" width="43.5703125" style="91" bestFit="1" customWidth="1"/>
    <col min="5" max="5" width="13.7109375" style="92" bestFit="1" customWidth="1"/>
    <col min="6" max="6" width="6.5703125" style="37" customWidth="1" outlineLevel="1"/>
    <col min="7" max="7" width="8" style="37" customWidth="1" outlineLevel="1"/>
    <col min="8" max="8" width="6.5703125" style="37" customWidth="1" outlineLevel="1"/>
    <col min="9" max="9" width="9.42578125" style="37" customWidth="1" outlineLevel="1"/>
    <col min="10" max="10" width="10.28515625" style="38" customWidth="1"/>
    <col min="11" max="11" width="19.85546875" style="39" customWidth="1"/>
    <col min="12" max="12" width="32" style="40" bestFit="1" customWidth="1"/>
    <col min="13" max="16384" width="9.140625" style="41"/>
  </cols>
  <sheetData>
    <row r="1" spans="3:14" x14ac:dyDescent="0.2">
      <c r="D1" s="154"/>
      <c r="E1" s="154"/>
    </row>
    <row r="2" spans="3:14" x14ac:dyDescent="0.2">
      <c r="C2" s="42" t="s">
        <v>35</v>
      </c>
      <c r="D2" s="43" t="s">
        <v>36</v>
      </c>
      <c r="E2" s="44"/>
      <c r="F2" s="45"/>
      <c r="G2" s="45"/>
      <c r="H2" s="45"/>
      <c r="I2" s="45"/>
      <c r="J2" s="45"/>
      <c r="K2" s="45"/>
      <c r="L2" s="46"/>
    </row>
    <row r="3" spans="3:14" x14ac:dyDescent="0.2">
      <c r="C3" s="47" t="s">
        <v>37</v>
      </c>
      <c r="D3" s="48">
        <v>44375</v>
      </c>
      <c r="E3" s="49"/>
      <c r="F3" s="50"/>
      <c r="G3" s="50"/>
      <c r="H3" s="50"/>
      <c r="I3" s="50"/>
      <c r="J3" s="50"/>
      <c r="K3" s="50"/>
      <c r="L3" s="51"/>
    </row>
    <row r="4" spans="3:14" x14ac:dyDescent="0.2">
      <c r="C4" s="52" t="s">
        <v>38</v>
      </c>
      <c r="D4" s="53" t="s">
        <v>65</v>
      </c>
      <c r="E4" s="54"/>
      <c r="F4" s="55"/>
      <c r="G4" s="55"/>
      <c r="H4" s="55"/>
      <c r="I4" s="55"/>
      <c r="J4" s="55"/>
      <c r="K4" s="55"/>
      <c r="L4" s="56"/>
    </row>
    <row r="5" spans="3:14" x14ac:dyDescent="0.2">
      <c r="C5" s="57" t="s">
        <v>39</v>
      </c>
      <c r="D5" s="58"/>
      <c r="E5" s="59" t="s">
        <v>40</v>
      </c>
      <c r="F5" s="155" t="s">
        <v>41</v>
      </c>
      <c r="G5" s="155"/>
      <c r="H5" s="155"/>
      <c r="I5" s="155"/>
      <c r="J5" s="155"/>
      <c r="K5" s="60"/>
      <c r="L5" s="61" t="s">
        <v>42</v>
      </c>
    </row>
    <row r="6" spans="3:14" x14ac:dyDescent="0.2">
      <c r="C6" s="62"/>
      <c r="D6" s="63" t="s">
        <v>43</v>
      </c>
      <c r="E6" s="64"/>
      <c r="F6" s="65" t="s">
        <v>44</v>
      </c>
      <c r="G6" s="65" t="s">
        <v>45</v>
      </c>
      <c r="H6" s="65" t="s">
        <v>46</v>
      </c>
      <c r="I6" s="65" t="s">
        <v>47</v>
      </c>
      <c r="J6" s="66" t="s">
        <v>48</v>
      </c>
      <c r="K6" s="65" t="s">
        <v>49</v>
      </c>
      <c r="L6" s="67"/>
    </row>
    <row r="7" spans="3:14" x14ac:dyDescent="0.2">
      <c r="C7" s="68">
        <v>1</v>
      </c>
      <c r="D7" s="69" t="s">
        <v>67</v>
      </c>
      <c r="E7" s="70">
        <f>'Wage breakup Mumbai '!F35</f>
        <v>19497.584596000001</v>
      </c>
      <c r="F7" s="71">
        <v>2</v>
      </c>
      <c r="G7" s="71"/>
      <c r="H7" s="71"/>
      <c r="I7" s="71"/>
      <c r="J7" s="72">
        <f t="shared" ref="J7:J8" si="0">SUM(F7:I7)</f>
        <v>2</v>
      </c>
      <c r="K7" s="71">
        <f t="shared" ref="K7:K8" si="1">J7*E7</f>
        <v>38995.169192000001</v>
      </c>
      <c r="L7" s="73" t="s">
        <v>96</v>
      </c>
      <c r="N7" s="74"/>
    </row>
    <row r="8" spans="3:14" x14ac:dyDescent="0.2">
      <c r="C8" s="68">
        <v>2</v>
      </c>
      <c r="D8" s="69" t="str">
        <f>'[1]Wage Breakup Gurgaon'!E4</f>
        <v>Security Guard</v>
      </c>
      <c r="E8" s="70">
        <f>'Wage breakup Mumbai '!N34</f>
        <v>35010.999299999996</v>
      </c>
      <c r="F8" s="71">
        <v>1</v>
      </c>
      <c r="G8" s="71"/>
      <c r="H8" s="71"/>
      <c r="I8" s="71"/>
      <c r="J8" s="72">
        <f t="shared" si="0"/>
        <v>1</v>
      </c>
      <c r="K8" s="71">
        <f t="shared" si="1"/>
        <v>35010.999299999996</v>
      </c>
      <c r="L8" s="73" t="s">
        <v>50</v>
      </c>
    </row>
    <row r="9" spans="3:14" x14ac:dyDescent="0.2">
      <c r="C9" s="156" t="s">
        <v>51</v>
      </c>
      <c r="D9" s="156"/>
      <c r="E9" s="75"/>
      <c r="F9" s="76">
        <f t="shared" ref="F9:K9" si="2">SUM(F7:F8)</f>
        <v>3</v>
      </c>
      <c r="G9" s="76">
        <f t="shared" si="2"/>
        <v>0</v>
      </c>
      <c r="H9" s="76">
        <f t="shared" si="2"/>
        <v>0</v>
      </c>
      <c r="I9" s="76">
        <f t="shared" si="2"/>
        <v>0</v>
      </c>
      <c r="J9" s="77">
        <f t="shared" si="2"/>
        <v>3</v>
      </c>
      <c r="K9" s="75">
        <f t="shared" si="2"/>
        <v>74006.168491999997</v>
      </c>
      <c r="L9" s="78"/>
    </row>
    <row r="10" spans="3:14" x14ac:dyDescent="0.2">
      <c r="C10" s="62"/>
      <c r="D10" s="63" t="s">
        <v>52</v>
      </c>
      <c r="E10" s="64"/>
      <c r="F10" s="65"/>
      <c r="G10" s="65"/>
      <c r="H10" s="65"/>
      <c r="I10" s="65"/>
      <c r="J10" s="66" t="s">
        <v>48</v>
      </c>
      <c r="K10" s="65" t="s">
        <v>49</v>
      </c>
      <c r="L10" s="67"/>
    </row>
    <row r="11" spans="3:14" x14ac:dyDescent="0.2">
      <c r="C11" s="79">
        <v>1</v>
      </c>
      <c r="D11" s="80" t="s">
        <v>53</v>
      </c>
      <c r="E11" s="81"/>
      <c r="F11" s="71" t="s">
        <v>54</v>
      </c>
      <c r="G11" s="82"/>
      <c r="H11" s="82"/>
      <c r="I11" s="82"/>
      <c r="J11" s="82"/>
      <c r="K11" s="83"/>
      <c r="L11" s="84" t="s">
        <v>55</v>
      </c>
    </row>
    <row r="12" spans="3:14" x14ac:dyDescent="0.2">
      <c r="C12" s="157" t="s">
        <v>51</v>
      </c>
      <c r="D12" s="158"/>
      <c r="E12" s="75"/>
      <c r="F12" s="159"/>
      <c r="G12" s="159"/>
      <c r="H12" s="159"/>
      <c r="I12" s="159"/>
      <c r="J12" s="159"/>
      <c r="K12" s="85">
        <f>SUM(K11:K11)</f>
        <v>0</v>
      </c>
      <c r="L12" s="78"/>
    </row>
    <row r="13" spans="3:14" s="89" customFormat="1" ht="15.75" x14ac:dyDescent="0.25">
      <c r="C13" s="151" t="s">
        <v>56</v>
      </c>
      <c r="D13" s="152"/>
      <c r="E13" s="86"/>
      <c r="F13" s="153"/>
      <c r="G13" s="153"/>
      <c r="H13" s="153"/>
      <c r="I13" s="153"/>
      <c r="J13" s="153"/>
      <c r="K13" s="87">
        <f>K12+K9</f>
        <v>74006.168491999997</v>
      </c>
      <c r="L13" s="88"/>
    </row>
    <row r="14" spans="3:14" s="89" customFormat="1" ht="15.75" x14ac:dyDescent="0.25">
      <c r="C14" s="151" t="s">
        <v>57</v>
      </c>
      <c r="D14" s="152"/>
      <c r="E14" s="90">
        <v>7.0000000000000007E-2</v>
      </c>
      <c r="F14" s="153"/>
      <c r="G14" s="153"/>
      <c r="H14" s="153"/>
      <c r="I14" s="153"/>
      <c r="J14" s="153"/>
      <c r="K14" s="87">
        <f>E14*K13</f>
        <v>5180.43179444</v>
      </c>
      <c r="L14" s="88"/>
    </row>
    <row r="15" spans="3:14" s="89" customFormat="1" ht="15.75" x14ac:dyDescent="0.25">
      <c r="C15" s="151" t="s">
        <v>56</v>
      </c>
      <c r="D15" s="152"/>
      <c r="E15" s="86"/>
      <c r="F15" s="153"/>
      <c r="G15" s="153"/>
      <c r="H15" s="153"/>
      <c r="I15" s="153"/>
      <c r="J15" s="153"/>
      <c r="K15" s="87">
        <f>K14+K13</f>
        <v>79186.600286439992</v>
      </c>
      <c r="L15" s="88"/>
    </row>
    <row r="16" spans="3:14" x14ac:dyDescent="0.2">
      <c r="C16" s="41"/>
    </row>
    <row r="17" spans="3:11" x14ac:dyDescent="0.2">
      <c r="C17" s="93" t="s">
        <v>58</v>
      </c>
      <c r="K17" s="94"/>
    </row>
    <row r="18" spans="3:11" x14ac:dyDescent="0.2">
      <c r="C18" s="95" t="s">
        <v>59</v>
      </c>
    </row>
    <row r="19" spans="3:11" x14ac:dyDescent="0.2">
      <c r="C19" s="95" t="s">
        <v>60</v>
      </c>
    </row>
    <row r="20" spans="3:11" x14ac:dyDescent="0.2">
      <c r="C20" s="95" t="s">
        <v>61</v>
      </c>
    </row>
    <row r="21" spans="3:11" x14ac:dyDescent="0.2">
      <c r="C21" s="95" t="s">
        <v>62</v>
      </c>
    </row>
    <row r="22" spans="3:11" x14ac:dyDescent="0.2">
      <c r="C22" s="95" t="s">
        <v>63</v>
      </c>
    </row>
    <row r="23" spans="3:11" x14ac:dyDescent="0.2">
      <c r="C23" s="95" t="s">
        <v>64</v>
      </c>
    </row>
    <row r="24" spans="3:11" x14ac:dyDescent="0.2">
      <c r="C24" s="95"/>
    </row>
    <row r="25" spans="3:11" ht="15" x14ac:dyDescent="0.2">
      <c r="C25" s="96"/>
    </row>
  </sheetData>
  <mergeCells count="11">
    <mergeCell ref="C14:D14"/>
    <mergeCell ref="F14:J14"/>
    <mergeCell ref="C15:D15"/>
    <mergeCell ref="F15:J15"/>
    <mergeCell ref="D1:E1"/>
    <mergeCell ref="F5:J5"/>
    <mergeCell ref="C9:D9"/>
    <mergeCell ref="C12:D12"/>
    <mergeCell ref="F12:J12"/>
    <mergeCell ref="C13:D13"/>
    <mergeCell ref="F13:J13"/>
  </mergeCells>
  <pageMargins left="0.7" right="0.7" top="0.75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7047-8981-4C77-9C3B-C35684A71A4E}">
  <sheetPr>
    <pageSetUpPr fitToPage="1"/>
  </sheetPr>
  <dimension ref="C1:N25"/>
  <sheetViews>
    <sheetView tabSelected="1" workbookViewId="0">
      <selection activeCell="L16" sqref="L16"/>
    </sheetView>
  </sheetViews>
  <sheetFormatPr defaultColWidth="9.140625" defaultRowHeight="12.75" outlineLevelCol="1" x14ac:dyDescent="0.2"/>
  <cols>
    <col min="1" max="1" width="9.140625" style="41"/>
    <col min="2" max="2" width="3.140625" style="41" customWidth="1"/>
    <col min="3" max="3" width="14.5703125" style="36" bestFit="1" customWidth="1"/>
    <col min="4" max="4" width="43.5703125" style="91" bestFit="1" customWidth="1"/>
    <col min="5" max="5" width="13.7109375" style="92" bestFit="1" customWidth="1"/>
    <col min="6" max="6" width="6.5703125" style="37" customWidth="1" outlineLevel="1"/>
    <col min="7" max="7" width="8" style="37" customWidth="1" outlineLevel="1"/>
    <col min="8" max="8" width="6.5703125" style="37" customWidth="1" outlineLevel="1"/>
    <col min="9" max="9" width="9.42578125" style="37" customWidth="1" outlineLevel="1"/>
    <col min="10" max="10" width="10.28515625" style="38" customWidth="1"/>
    <col min="11" max="11" width="19.85546875" style="39" customWidth="1"/>
    <col min="12" max="12" width="32" style="40" bestFit="1" customWidth="1"/>
    <col min="13" max="16384" width="9.140625" style="41"/>
  </cols>
  <sheetData>
    <row r="1" spans="3:14" x14ac:dyDescent="0.2">
      <c r="D1" s="154"/>
      <c r="E1" s="154"/>
    </row>
    <row r="2" spans="3:14" x14ac:dyDescent="0.2">
      <c r="C2" s="42" t="s">
        <v>35</v>
      </c>
      <c r="D2" s="43" t="s">
        <v>36</v>
      </c>
      <c r="E2" s="44"/>
      <c r="F2" s="45"/>
      <c r="G2" s="45"/>
      <c r="H2" s="45"/>
      <c r="I2" s="45"/>
      <c r="J2" s="45"/>
      <c r="K2" s="45"/>
      <c r="L2" s="46"/>
    </row>
    <row r="3" spans="3:14" x14ac:dyDescent="0.2">
      <c r="C3" s="47" t="s">
        <v>37</v>
      </c>
      <c r="D3" s="48">
        <v>44375</v>
      </c>
      <c r="E3" s="49"/>
      <c r="F3" s="50"/>
      <c r="G3" s="50"/>
      <c r="H3" s="50"/>
      <c r="I3" s="50"/>
      <c r="J3" s="50"/>
      <c r="K3" s="50"/>
      <c r="L3" s="51"/>
    </row>
    <row r="4" spans="3:14" x14ac:dyDescent="0.2">
      <c r="C4" s="52" t="s">
        <v>38</v>
      </c>
      <c r="D4" s="53" t="s">
        <v>66</v>
      </c>
      <c r="E4" s="54"/>
      <c r="F4" s="55"/>
      <c r="G4" s="55"/>
      <c r="H4" s="55"/>
      <c r="I4" s="55"/>
      <c r="J4" s="55"/>
      <c r="K4" s="55"/>
      <c r="L4" s="56"/>
    </row>
    <row r="5" spans="3:14" x14ac:dyDescent="0.2">
      <c r="C5" s="57" t="s">
        <v>39</v>
      </c>
      <c r="D5" s="58"/>
      <c r="E5" s="59" t="s">
        <v>40</v>
      </c>
      <c r="F5" s="155" t="s">
        <v>41</v>
      </c>
      <c r="G5" s="155"/>
      <c r="H5" s="155"/>
      <c r="I5" s="155"/>
      <c r="J5" s="155"/>
      <c r="K5" s="60"/>
      <c r="L5" s="61" t="s">
        <v>42</v>
      </c>
    </row>
    <row r="6" spans="3:14" x14ac:dyDescent="0.2">
      <c r="C6" s="62"/>
      <c r="D6" s="63" t="s">
        <v>43</v>
      </c>
      <c r="E6" s="64"/>
      <c r="F6" s="65" t="s">
        <v>44</v>
      </c>
      <c r="G6" s="65" t="s">
        <v>45</v>
      </c>
      <c r="H6" s="65" t="s">
        <v>46</v>
      </c>
      <c r="I6" s="65" t="s">
        <v>47</v>
      </c>
      <c r="J6" s="66" t="s">
        <v>48</v>
      </c>
      <c r="K6" s="65" t="s">
        <v>49</v>
      </c>
      <c r="L6" s="67"/>
    </row>
    <row r="7" spans="3:14" x14ac:dyDescent="0.2">
      <c r="C7" s="68">
        <v>1</v>
      </c>
      <c r="D7" s="69" t="s">
        <v>67</v>
      </c>
      <c r="E7" s="70">
        <f>'Wage breakup Pune '!F35</f>
        <v>19673.840674999999</v>
      </c>
      <c r="F7" s="71">
        <v>2</v>
      </c>
      <c r="G7" s="71"/>
      <c r="H7" s="71"/>
      <c r="I7" s="71"/>
      <c r="J7" s="72">
        <f t="shared" ref="J7:J8" si="0">SUM(F7:I7)</f>
        <v>2</v>
      </c>
      <c r="K7" s="71">
        <f t="shared" ref="K7:K8" si="1">J7*E7</f>
        <v>39347.681349999999</v>
      </c>
      <c r="L7" s="73" t="s">
        <v>97</v>
      </c>
      <c r="N7" s="74"/>
    </row>
    <row r="8" spans="3:14" x14ac:dyDescent="0.2">
      <c r="C8" s="68">
        <f>C7+1</f>
        <v>2</v>
      </c>
      <c r="D8" s="69" t="str">
        <f>'[1]Wage Breakup Gurgaon'!E4</f>
        <v>Security Guard</v>
      </c>
      <c r="E8" s="70">
        <f>'Wage breakup Pune '!K27</f>
        <v>27726.5092</v>
      </c>
      <c r="F8" s="71">
        <v>1</v>
      </c>
      <c r="G8" s="71"/>
      <c r="H8" s="71"/>
      <c r="I8" s="71"/>
      <c r="J8" s="72">
        <f t="shared" si="0"/>
        <v>1</v>
      </c>
      <c r="K8" s="71">
        <f t="shared" si="1"/>
        <v>27726.5092</v>
      </c>
      <c r="L8" s="73" t="s">
        <v>50</v>
      </c>
    </row>
    <row r="9" spans="3:14" x14ac:dyDescent="0.2">
      <c r="C9" s="156" t="s">
        <v>51</v>
      </c>
      <c r="D9" s="156"/>
      <c r="E9" s="75"/>
      <c r="F9" s="76">
        <f t="shared" ref="F9:K9" si="2">SUM(F7:F8)</f>
        <v>3</v>
      </c>
      <c r="G9" s="76">
        <f t="shared" si="2"/>
        <v>0</v>
      </c>
      <c r="H9" s="76">
        <f t="shared" si="2"/>
        <v>0</v>
      </c>
      <c r="I9" s="76">
        <f t="shared" si="2"/>
        <v>0</v>
      </c>
      <c r="J9" s="77">
        <f t="shared" si="2"/>
        <v>3</v>
      </c>
      <c r="K9" s="75">
        <f t="shared" si="2"/>
        <v>67074.190549999999</v>
      </c>
      <c r="L9" s="78"/>
    </row>
    <row r="10" spans="3:14" x14ac:dyDescent="0.2">
      <c r="C10" s="62"/>
      <c r="D10" s="63" t="s">
        <v>52</v>
      </c>
      <c r="E10" s="64"/>
      <c r="F10" s="65"/>
      <c r="G10" s="65"/>
      <c r="H10" s="65"/>
      <c r="I10" s="65"/>
      <c r="J10" s="66" t="s">
        <v>48</v>
      </c>
      <c r="K10" s="65" t="s">
        <v>49</v>
      </c>
      <c r="L10" s="67"/>
    </row>
    <row r="11" spans="3:14" x14ac:dyDescent="0.2">
      <c r="C11" s="79">
        <v>1</v>
      </c>
      <c r="D11" s="80" t="s">
        <v>53</v>
      </c>
      <c r="E11" s="81"/>
      <c r="F11" s="71" t="s">
        <v>54</v>
      </c>
      <c r="G11" s="82"/>
      <c r="H11" s="82"/>
      <c r="I11" s="82"/>
      <c r="J11" s="82"/>
      <c r="K11" s="83"/>
      <c r="L11" s="84" t="s">
        <v>55</v>
      </c>
    </row>
    <row r="12" spans="3:14" x14ac:dyDescent="0.2">
      <c r="C12" s="157" t="s">
        <v>51</v>
      </c>
      <c r="D12" s="158"/>
      <c r="E12" s="75"/>
      <c r="F12" s="159"/>
      <c r="G12" s="159"/>
      <c r="H12" s="159"/>
      <c r="I12" s="159"/>
      <c r="J12" s="159"/>
      <c r="K12" s="85">
        <f>SUM(K11:K11)</f>
        <v>0</v>
      </c>
      <c r="L12" s="78"/>
    </row>
    <row r="13" spans="3:14" s="89" customFormat="1" ht="15.75" x14ac:dyDescent="0.25">
      <c r="C13" s="151" t="s">
        <v>56</v>
      </c>
      <c r="D13" s="152"/>
      <c r="E13" s="86"/>
      <c r="F13" s="153"/>
      <c r="G13" s="153"/>
      <c r="H13" s="153"/>
      <c r="I13" s="153"/>
      <c r="J13" s="153"/>
      <c r="K13" s="87">
        <f>K12+K9</f>
        <v>67074.190549999999</v>
      </c>
      <c r="L13" s="88"/>
    </row>
    <row r="14" spans="3:14" s="89" customFormat="1" ht="15.75" x14ac:dyDescent="0.25">
      <c r="C14" s="151" t="s">
        <v>57</v>
      </c>
      <c r="D14" s="152"/>
      <c r="E14" s="90">
        <v>7.0000000000000007E-2</v>
      </c>
      <c r="F14" s="153"/>
      <c r="G14" s="153"/>
      <c r="H14" s="153"/>
      <c r="I14" s="153"/>
      <c r="J14" s="153"/>
      <c r="K14" s="87">
        <f>E14*K13</f>
        <v>4695.1933385000002</v>
      </c>
      <c r="L14" s="88"/>
    </row>
    <row r="15" spans="3:14" s="89" customFormat="1" ht="15.75" x14ac:dyDescent="0.25">
      <c r="C15" s="151" t="s">
        <v>56</v>
      </c>
      <c r="D15" s="152"/>
      <c r="E15" s="86"/>
      <c r="F15" s="153"/>
      <c r="G15" s="153"/>
      <c r="H15" s="153"/>
      <c r="I15" s="153"/>
      <c r="J15" s="153"/>
      <c r="K15" s="87">
        <f>K14+K13</f>
        <v>71769.3838885</v>
      </c>
      <c r="L15" s="88"/>
    </row>
    <row r="16" spans="3:14" x14ac:dyDescent="0.2">
      <c r="C16" s="41"/>
    </row>
    <row r="17" spans="3:11" x14ac:dyDescent="0.2">
      <c r="C17" s="93" t="s">
        <v>58</v>
      </c>
      <c r="K17" s="94"/>
    </row>
    <row r="18" spans="3:11" x14ac:dyDescent="0.2">
      <c r="C18" s="95" t="s">
        <v>59</v>
      </c>
    </row>
    <row r="19" spans="3:11" x14ac:dyDescent="0.2">
      <c r="C19" s="95" t="s">
        <v>60</v>
      </c>
    </row>
    <row r="20" spans="3:11" x14ac:dyDescent="0.2">
      <c r="C20" s="95" t="s">
        <v>61</v>
      </c>
    </row>
    <row r="21" spans="3:11" x14ac:dyDescent="0.2">
      <c r="C21" s="95" t="s">
        <v>62</v>
      </c>
    </row>
    <row r="22" spans="3:11" x14ac:dyDescent="0.2">
      <c r="C22" s="95" t="s">
        <v>63</v>
      </c>
    </row>
    <row r="23" spans="3:11" x14ac:dyDescent="0.2">
      <c r="C23" s="95" t="s">
        <v>64</v>
      </c>
    </row>
    <row r="24" spans="3:11" x14ac:dyDescent="0.2">
      <c r="C24" s="95"/>
    </row>
    <row r="25" spans="3:11" ht="15" x14ac:dyDescent="0.2">
      <c r="C25" s="96"/>
    </row>
  </sheetData>
  <mergeCells count="11">
    <mergeCell ref="C14:D14"/>
    <mergeCell ref="F14:J14"/>
    <mergeCell ref="C15:D15"/>
    <mergeCell ref="F15:J15"/>
    <mergeCell ref="D1:E1"/>
    <mergeCell ref="F5:J5"/>
    <mergeCell ref="C9:D9"/>
    <mergeCell ref="C12:D12"/>
    <mergeCell ref="F12:J12"/>
    <mergeCell ref="C13:D13"/>
    <mergeCell ref="F13:J13"/>
  </mergeCells>
  <pageMargins left="0.7" right="0.7" top="0.75" bottom="0.75" header="0.3" footer="0.3"/>
  <pageSetup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13F4-32D1-44D5-BAD1-22E0C56108F4}">
  <dimension ref="A1:IB37"/>
  <sheetViews>
    <sheetView topLeftCell="A25" workbookViewId="0">
      <selection activeCell="B38" sqref="B38"/>
    </sheetView>
  </sheetViews>
  <sheetFormatPr defaultColWidth="9" defaultRowHeight="15" x14ac:dyDescent="0.2"/>
  <cols>
    <col min="1" max="1" width="4.85546875" style="1" customWidth="1"/>
    <col min="2" max="2" width="39.140625" style="1" customWidth="1"/>
    <col min="3" max="3" width="3.42578125" style="35" customWidth="1"/>
    <col min="4" max="4" width="6.7109375" style="1" bestFit="1" customWidth="1"/>
    <col min="5" max="5" width="9.85546875" style="1" customWidth="1"/>
    <col min="6" max="6" width="11.85546875" style="1" customWidth="1"/>
    <col min="7" max="11" width="9.140625" style="1" customWidth="1"/>
    <col min="12" max="12" width="31.7109375" style="1" bestFit="1" customWidth="1"/>
    <col min="13" max="13" width="9.140625" style="1" customWidth="1"/>
    <col min="14" max="14" width="12" style="1" customWidth="1"/>
    <col min="15" max="225" width="9.140625" style="1" customWidth="1"/>
    <col min="226" max="226" width="1.5703125" style="1" customWidth="1"/>
    <col min="227" max="227" width="4.85546875" style="1" customWidth="1"/>
    <col min="228" max="228" width="35" style="1" customWidth="1"/>
    <col min="229" max="229" width="2.140625" style="1" customWidth="1"/>
    <col min="230" max="230" width="6.5703125" style="1" customWidth="1"/>
    <col min="231" max="231" width="7.85546875" style="1" customWidth="1"/>
    <col min="232" max="235" width="7.42578125" style="1" customWidth="1"/>
    <col min="236" max="236" width="7.5703125" style="1" customWidth="1"/>
    <col min="237" max="16384" width="9" style="3"/>
  </cols>
  <sheetData>
    <row r="1" spans="1:14" x14ac:dyDescent="0.2">
      <c r="B1" s="2"/>
      <c r="C1" s="2"/>
      <c r="D1" s="2"/>
      <c r="E1" s="2"/>
      <c r="F1" s="2"/>
    </row>
    <row r="2" spans="1:14" x14ac:dyDescent="0.2">
      <c r="B2" s="160" t="s">
        <v>0</v>
      </c>
      <c r="C2" s="161"/>
      <c r="D2" s="161"/>
      <c r="E2" s="161"/>
      <c r="F2" s="161"/>
    </row>
    <row r="3" spans="1:14" x14ac:dyDescent="0.2">
      <c r="B3" s="4" t="s">
        <v>1</v>
      </c>
      <c r="C3" s="162"/>
      <c r="D3" s="163"/>
      <c r="E3" s="163"/>
      <c r="F3" s="163"/>
    </row>
    <row r="4" spans="1:14" s="1" customFormat="1" ht="12.75" x14ac:dyDescent="0.2">
      <c r="B4" s="5" t="s">
        <v>2</v>
      </c>
      <c r="C4" s="164"/>
      <c r="D4" s="165"/>
      <c r="E4" s="165"/>
      <c r="F4" s="165"/>
    </row>
    <row r="5" spans="1:14" s="1" customFormat="1" ht="13.5" thickBot="1" x14ac:dyDescent="0.25">
      <c r="B5" s="5" t="s">
        <v>3</v>
      </c>
      <c r="C5" s="166"/>
      <c r="D5" s="167"/>
      <c r="E5" s="167"/>
      <c r="F5" s="167"/>
    </row>
    <row r="6" spans="1:14" s="1" customFormat="1" ht="15.75" thickBot="1" x14ac:dyDescent="0.3">
      <c r="B6" s="6" t="s">
        <v>4</v>
      </c>
      <c r="C6" s="6"/>
      <c r="D6" s="6"/>
      <c r="E6" s="6"/>
      <c r="F6" s="7">
        <v>0.28000000000000003</v>
      </c>
      <c r="L6" s="168" t="s">
        <v>94</v>
      </c>
      <c r="M6" s="169"/>
      <c r="N6" s="169"/>
    </row>
    <row r="7" spans="1:14" s="1" customFormat="1" ht="30.75" thickBot="1" x14ac:dyDescent="0.25">
      <c r="B7" s="6" t="s">
        <v>5</v>
      </c>
      <c r="C7" s="8" t="s">
        <v>6</v>
      </c>
      <c r="D7" s="8" t="s">
        <v>7</v>
      </c>
      <c r="E7" s="9" t="s">
        <v>8</v>
      </c>
      <c r="F7" s="10" t="s">
        <v>68</v>
      </c>
      <c r="L7" s="97" t="s">
        <v>69</v>
      </c>
      <c r="M7" s="98" t="s">
        <v>7</v>
      </c>
      <c r="N7" s="97" t="s">
        <v>70</v>
      </c>
    </row>
    <row r="8" spans="1:14" s="1" customFormat="1" x14ac:dyDescent="0.25">
      <c r="B8" s="11"/>
      <c r="C8" s="12"/>
      <c r="D8" s="12"/>
      <c r="E8" s="13"/>
      <c r="F8" s="14"/>
      <c r="L8" s="99" t="s">
        <v>71</v>
      </c>
      <c r="M8" s="100"/>
      <c r="N8" s="99" t="s">
        <v>72</v>
      </c>
    </row>
    <row r="9" spans="1:14" s="1" customFormat="1" x14ac:dyDescent="0.25">
      <c r="B9" s="15" t="s">
        <v>9</v>
      </c>
      <c r="C9" s="16" t="s">
        <v>10</v>
      </c>
      <c r="D9" s="15"/>
      <c r="E9" s="17"/>
      <c r="F9" s="18">
        <v>10021</v>
      </c>
      <c r="L9" s="101" t="s">
        <v>9</v>
      </c>
      <c r="M9" s="102"/>
      <c r="N9" s="103">
        <v>12082</v>
      </c>
    </row>
    <row r="10" spans="1:14" s="1" customFormat="1" x14ac:dyDescent="0.25">
      <c r="B10" s="15" t="s">
        <v>11</v>
      </c>
      <c r="C10" s="16" t="s">
        <v>10</v>
      </c>
      <c r="D10" s="15"/>
      <c r="E10" s="17"/>
      <c r="F10" s="18">
        <v>1092</v>
      </c>
      <c r="L10" s="101" t="s">
        <v>11</v>
      </c>
      <c r="M10" s="102"/>
      <c r="N10" s="104">
        <v>1092</v>
      </c>
    </row>
    <row r="11" spans="1:14" s="1" customFormat="1" x14ac:dyDescent="0.25">
      <c r="A11" s="19"/>
      <c r="B11" s="20" t="s">
        <v>12</v>
      </c>
      <c r="C11" s="21"/>
      <c r="D11" s="20"/>
      <c r="E11" s="22"/>
      <c r="F11" s="23">
        <f t="shared" ref="F11" si="0">SUM(F9:F10)</f>
        <v>11113</v>
      </c>
      <c r="L11" s="105" t="s">
        <v>13</v>
      </c>
      <c r="M11" s="102"/>
      <c r="N11" s="103">
        <f t="shared" ref="N11" si="1">(N9+N10)*20%</f>
        <v>2634.8</v>
      </c>
    </row>
    <row r="12" spans="1:14" s="1" customFormat="1" x14ac:dyDescent="0.25">
      <c r="A12" s="19"/>
      <c r="B12" s="20"/>
      <c r="C12" s="21"/>
      <c r="D12" s="20"/>
      <c r="E12" s="22"/>
      <c r="F12" s="23"/>
      <c r="L12" s="105" t="s">
        <v>73</v>
      </c>
      <c r="M12" s="102"/>
      <c r="N12" s="103">
        <v>1500</v>
      </c>
    </row>
    <row r="13" spans="1:14" s="1" customFormat="1" x14ac:dyDescent="0.25">
      <c r="B13" s="24" t="s">
        <v>13</v>
      </c>
      <c r="C13" s="16" t="s">
        <v>10</v>
      </c>
      <c r="D13" s="15"/>
      <c r="E13" s="17"/>
      <c r="F13" s="18">
        <f>F11*F6</f>
        <v>3111.6400000000003</v>
      </c>
      <c r="L13" s="105" t="s">
        <v>14</v>
      </c>
      <c r="M13" s="102"/>
      <c r="N13" s="103">
        <v>600</v>
      </c>
    </row>
    <row r="14" spans="1:14" s="1" customFormat="1" x14ac:dyDescent="0.25">
      <c r="B14" s="24" t="s">
        <v>14</v>
      </c>
      <c r="C14" s="16" t="s">
        <v>15</v>
      </c>
      <c r="D14" s="15"/>
      <c r="E14" s="17"/>
      <c r="F14" s="18"/>
      <c r="L14" s="105" t="s">
        <v>74</v>
      </c>
      <c r="M14" s="102"/>
      <c r="N14" s="103">
        <v>100</v>
      </c>
    </row>
    <row r="15" spans="1:14" s="1" customFormat="1" ht="15.75" thickBot="1" x14ac:dyDescent="0.3">
      <c r="B15" s="24" t="s">
        <v>16</v>
      </c>
      <c r="C15" s="16" t="s">
        <v>15</v>
      </c>
      <c r="D15" s="15"/>
      <c r="E15" s="17"/>
      <c r="F15" s="18"/>
      <c r="L15" s="105" t="s">
        <v>75</v>
      </c>
      <c r="M15" s="102"/>
      <c r="N15" s="103">
        <v>1300</v>
      </c>
    </row>
    <row r="16" spans="1:14" s="1" customFormat="1" ht="15.75" thickBot="1" x14ac:dyDescent="0.3">
      <c r="B16" s="24"/>
      <c r="C16" s="16"/>
      <c r="D16" s="15"/>
      <c r="E16" s="17"/>
      <c r="F16" s="18"/>
      <c r="L16" s="106" t="s">
        <v>76</v>
      </c>
      <c r="M16" s="107"/>
      <c r="N16" s="108">
        <f>SUM(N9:N15)</f>
        <v>19308.8</v>
      </c>
    </row>
    <row r="17" spans="2:14" s="1" customFormat="1" ht="15.75" thickBot="1" x14ac:dyDescent="0.3">
      <c r="B17" s="20" t="s">
        <v>17</v>
      </c>
      <c r="C17" s="21"/>
      <c r="D17" s="20"/>
      <c r="E17" s="22"/>
      <c r="F17" s="23">
        <f t="shared" ref="F17" si="2">SUM(F11:F16)</f>
        <v>14224.64</v>
      </c>
      <c r="L17" s="109" t="s">
        <v>77</v>
      </c>
      <c r="M17" s="110"/>
      <c r="N17" s="111"/>
    </row>
    <row r="18" spans="2:14" s="1" customFormat="1" x14ac:dyDescent="0.25">
      <c r="B18" s="20"/>
      <c r="C18" s="21"/>
      <c r="D18" s="20"/>
      <c r="E18" s="22"/>
      <c r="F18" s="23"/>
      <c r="L18" s="112" t="s">
        <v>78</v>
      </c>
      <c r="M18" s="113">
        <v>13</v>
      </c>
      <c r="N18" s="114">
        <f>(N16-N11)*13%</f>
        <v>2167.62</v>
      </c>
    </row>
    <row r="19" spans="2:14" s="1" customFormat="1" x14ac:dyDescent="0.25">
      <c r="B19" s="15" t="s">
        <v>18</v>
      </c>
      <c r="C19" s="21"/>
      <c r="D19" s="20"/>
      <c r="E19" s="22"/>
      <c r="F19" s="18">
        <f>IF(F17&gt;10000,200,IF(F17&gt;7500,175,0))</f>
        <v>200</v>
      </c>
      <c r="L19" s="105" t="s">
        <v>79</v>
      </c>
      <c r="M19" s="102">
        <v>8.33</v>
      </c>
      <c r="N19" s="103">
        <f>(N9+N10)*8.33%</f>
        <v>1097.3942</v>
      </c>
    </row>
    <row r="20" spans="2:14" s="1" customFormat="1" x14ac:dyDescent="0.25">
      <c r="B20" s="15" t="s">
        <v>19</v>
      </c>
      <c r="C20" s="16" t="s">
        <v>10</v>
      </c>
      <c r="D20" s="25">
        <v>7.4999999999999997E-3</v>
      </c>
      <c r="E20" s="26" t="s">
        <v>20</v>
      </c>
      <c r="F20" s="18">
        <f t="shared" ref="F20" si="3">IF(F17&gt;21000,0,IF(F17&lt;21000,F17*$D$20,0))</f>
        <v>106.6848</v>
      </c>
      <c r="L20" s="105" t="s">
        <v>80</v>
      </c>
      <c r="M20" s="102">
        <v>4.8099999999999996</v>
      </c>
      <c r="N20" s="103">
        <f>(N9+N10)*4.81%</f>
        <v>633.6694</v>
      </c>
    </row>
    <row r="21" spans="2:14" s="1" customFormat="1" x14ac:dyDescent="0.25">
      <c r="B21" s="15" t="s">
        <v>21</v>
      </c>
      <c r="C21" s="16" t="s">
        <v>10</v>
      </c>
      <c r="D21" s="25">
        <v>0.12</v>
      </c>
      <c r="E21" s="26" t="s">
        <v>22</v>
      </c>
      <c r="F21" s="18">
        <f t="shared" ref="F21" si="4">IF(F17-F13&gt;=15000,15000*$D$21,IF(F17-F13&lt;15000,(F17-F13)*$D$21,0))</f>
        <v>1333.56</v>
      </c>
      <c r="L21" s="105" t="s">
        <v>81</v>
      </c>
      <c r="M21" s="102">
        <v>7.37</v>
      </c>
      <c r="N21" s="103">
        <f>(N9+N10)*7.37%</f>
        <v>970.92380000000003</v>
      </c>
    </row>
    <row r="22" spans="2:14" s="1" customFormat="1" x14ac:dyDescent="0.25">
      <c r="B22" s="27"/>
      <c r="C22" s="27"/>
      <c r="D22" s="27"/>
      <c r="E22" s="27"/>
      <c r="F22" s="27"/>
      <c r="L22" s="105" t="s">
        <v>82</v>
      </c>
      <c r="M22" s="102">
        <v>2.56</v>
      </c>
      <c r="N22" s="103">
        <f>(N9+N10)*2.56%</f>
        <v>337.25440000000003</v>
      </c>
    </row>
    <row r="23" spans="2:14" s="1" customFormat="1" x14ac:dyDescent="0.25">
      <c r="B23" s="20" t="s">
        <v>23</v>
      </c>
      <c r="C23" s="21"/>
      <c r="D23" s="11"/>
      <c r="E23" s="28"/>
      <c r="F23" s="23">
        <f>+F17-SUM(F19:F22)</f>
        <v>12584.395199999999</v>
      </c>
      <c r="L23" s="105" t="s">
        <v>83</v>
      </c>
      <c r="M23" s="102">
        <v>3.25</v>
      </c>
      <c r="N23" s="103">
        <f>(N16-N13)*3.25%</f>
        <v>608.03599999999994</v>
      </c>
    </row>
    <row r="24" spans="2:14" s="1" customFormat="1" ht="15.75" thickBot="1" x14ac:dyDescent="0.3">
      <c r="B24" s="20"/>
      <c r="C24" s="21"/>
      <c r="D24" s="11"/>
      <c r="E24" s="28"/>
      <c r="F24" s="23"/>
      <c r="L24" s="105" t="s">
        <v>84</v>
      </c>
      <c r="M24" s="102">
        <v>4</v>
      </c>
      <c r="N24" s="103">
        <f>(N9+N10)*4%</f>
        <v>526.96</v>
      </c>
    </row>
    <row r="25" spans="2:14" s="1" customFormat="1" ht="15.75" thickBot="1" x14ac:dyDescent="0.3">
      <c r="B25" s="15" t="s">
        <v>19</v>
      </c>
      <c r="C25" s="16" t="s">
        <v>10</v>
      </c>
      <c r="D25" s="25">
        <v>3.7499999999999999E-2</v>
      </c>
      <c r="E25" s="26" t="s">
        <v>20</v>
      </c>
      <c r="F25" s="18">
        <f t="shared" ref="F25" si="5">IF(F17&gt;21000,0,IF(F17&lt;21000,F17*$D$25,0))</f>
        <v>533.42399999999998</v>
      </c>
      <c r="L25" s="115" t="s">
        <v>85</v>
      </c>
      <c r="M25" s="116">
        <f>SUM(M18:M24)</f>
        <v>43.32</v>
      </c>
      <c r="N25" s="117">
        <f t="shared" ref="N25" si="6">SUM(N18:N24)</f>
        <v>6341.8577999999989</v>
      </c>
    </row>
    <row r="26" spans="2:14" s="1" customFormat="1" ht="15.75" thickBot="1" x14ac:dyDescent="0.3">
      <c r="B26" s="15" t="s">
        <v>24</v>
      </c>
      <c r="C26" s="16"/>
      <c r="D26" s="25"/>
      <c r="E26" s="26"/>
      <c r="F26" s="18"/>
      <c r="L26" s="115" t="s">
        <v>86</v>
      </c>
      <c r="M26" s="116"/>
      <c r="N26" s="117">
        <f t="shared" ref="N26" si="7">N16*3%</f>
        <v>579.26400000000001</v>
      </c>
    </row>
    <row r="27" spans="2:14" s="1" customFormat="1" ht="15.75" thickBot="1" x14ac:dyDescent="0.3">
      <c r="B27" s="15" t="s">
        <v>21</v>
      </c>
      <c r="C27" s="16" t="s">
        <v>10</v>
      </c>
      <c r="D27" s="25">
        <v>0.13</v>
      </c>
      <c r="E27" s="26" t="s">
        <v>22</v>
      </c>
      <c r="F27" s="18">
        <f t="shared" ref="F27" si="8">IF(F17-F13&gt;=15000,15000*$D$27,IF(F17-F13&lt;15000,(F17-F13)*$D$27,0))</f>
        <v>1444.69</v>
      </c>
      <c r="L27" s="118" t="s">
        <v>87</v>
      </c>
      <c r="M27" s="119"/>
      <c r="N27" s="108">
        <f t="shared" ref="N27" si="9">N26+N25+N16</f>
        <v>26229.921799999996</v>
      </c>
    </row>
    <row r="28" spans="2:14" s="1" customFormat="1" x14ac:dyDescent="0.25">
      <c r="B28" s="15" t="s">
        <v>25</v>
      </c>
      <c r="C28" s="16" t="s">
        <v>10</v>
      </c>
      <c r="D28" s="25">
        <v>8.3299999999999999E-2</v>
      </c>
      <c r="E28" s="26" t="s">
        <v>22</v>
      </c>
      <c r="F28" s="18">
        <f t="shared" ref="F28" si="10">F11*$D$28</f>
        <v>925.71289999999999</v>
      </c>
      <c r="L28" s="120" t="s">
        <v>88</v>
      </c>
      <c r="M28" s="113"/>
      <c r="N28" s="114">
        <f>(N9+N10)/2</f>
        <v>6587</v>
      </c>
    </row>
    <row r="29" spans="2:14" s="1" customFormat="1" ht="15.75" thickBot="1" x14ac:dyDescent="0.3">
      <c r="B29" s="24" t="s">
        <v>26</v>
      </c>
      <c r="C29" s="16" t="s">
        <v>10</v>
      </c>
      <c r="D29" s="25">
        <v>8.3299999999999999E-2</v>
      </c>
      <c r="E29" s="26" t="s">
        <v>20</v>
      </c>
      <c r="F29" s="18">
        <f t="shared" ref="F29" si="11">F17*$D$29</f>
        <v>1184.9125119999999</v>
      </c>
      <c r="L29" s="121" t="s">
        <v>89</v>
      </c>
      <c r="M29" s="122"/>
      <c r="N29" s="123">
        <f>N28*3.25%</f>
        <v>214.07750000000001</v>
      </c>
    </row>
    <row r="30" spans="2:14" s="1" customFormat="1" ht="15.75" thickBot="1" x14ac:dyDescent="0.3">
      <c r="B30" s="24" t="s">
        <v>27</v>
      </c>
      <c r="C30" s="16" t="s">
        <v>10</v>
      </c>
      <c r="D30" s="25">
        <v>4.8099999999999997E-2</v>
      </c>
      <c r="E30" s="26" t="s">
        <v>28</v>
      </c>
      <c r="F30" s="18">
        <f>F17*$D$30</f>
        <v>684.20518399999992</v>
      </c>
      <c r="L30" s="124" t="s">
        <v>90</v>
      </c>
      <c r="M30" s="125"/>
      <c r="N30" s="126">
        <f t="shared" ref="N30" si="12">N27+N28+N29</f>
        <v>33030.999299999996</v>
      </c>
    </row>
    <row r="31" spans="2:14" s="1" customFormat="1" x14ac:dyDescent="0.25">
      <c r="B31" s="17" t="s">
        <v>29</v>
      </c>
      <c r="C31" s="16" t="s">
        <v>15</v>
      </c>
      <c r="D31" s="25"/>
      <c r="E31" s="26"/>
      <c r="F31" s="18">
        <v>350</v>
      </c>
      <c r="L31" s="127" t="s">
        <v>91</v>
      </c>
      <c r="M31" s="128"/>
      <c r="N31" s="129"/>
    </row>
    <row r="32" spans="2:14" s="1" customFormat="1" x14ac:dyDescent="0.25">
      <c r="B32" s="17" t="s">
        <v>30</v>
      </c>
      <c r="C32" s="16" t="s">
        <v>15</v>
      </c>
      <c r="D32" s="25"/>
      <c r="E32" s="26"/>
      <c r="F32" s="18">
        <v>150</v>
      </c>
      <c r="L32" s="127" t="s">
        <v>92</v>
      </c>
      <c r="M32" s="128"/>
      <c r="N32" s="129">
        <f t="shared" ref="N32" si="13">N30+N31</f>
        <v>33030.999299999996</v>
      </c>
    </row>
    <row r="33" spans="2:14" s="1" customFormat="1" x14ac:dyDescent="0.25">
      <c r="B33" s="29" t="s">
        <v>31</v>
      </c>
      <c r="C33" s="30"/>
      <c r="D33" s="6"/>
      <c r="E33" s="31"/>
      <c r="F33" s="32">
        <f>SUM(F25:F32)</f>
        <v>5272.9445959999994</v>
      </c>
      <c r="L33" s="130" t="s">
        <v>95</v>
      </c>
      <c r="M33" s="131"/>
      <c r="N33" s="114">
        <v>1980</v>
      </c>
    </row>
    <row r="34" spans="2:14" s="1" customFormat="1" ht="15.75" thickBot="1" x14ac:dyDescent="0.3">
      <c r="B34" s="15" t="s">
        <v>32</v>
      </c>
      <c r="C34" s="16"/>
      <c r="D34" s="33">
        <v>0.16666666666666666</v>
      </c>
      <c r="E34" s="26"/>
      <c r="F34" s="18"/>
      <c r="L34" s="132" t="s">
        <v>93</v>
      </c>
      <c r="M34" s="133"/>
      <c r="N34" s="134">
        <f t="shared" ref="N34" si="14">N32+N33</f>
        <v>35010.999299999996</v>
      </c>
    </row>
    <row r="35" spans="2:14" s="1" customFormat="1" ht="12.75" x14ac:dyDescent="0.2">
      <c r="B35" s="29" t="s">
        <v>33</v>
      </c>
      <c r="C35" s="30"/>
      <c r="D35" s="29"/>
      <c r="E35" s="34"/>
      <c r="F35" s="32">
        <f>F17+F33+F34</f>
        <v>19497.584596000001</v>
      </c>
    </row>
    <row r="37" spans="2:14" x14ac:dyDescent="0.2">
      <c r="B37" s="1" t="s">
        <v>118</v>
      </c>
    </row>
  </sheetData>
  <mergeCells count="3">
    <mergeCell ref="B2:F2"/>
    <mergeCell ref="C3:F5"/>
    <mergeCell ref="L6: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6034-43B8-4F83-BBBF-0FCD732A6668}">
  <dimension ref="A1:HV35"/>
  <sheetViews>
    <sheetView topLeftCell="A10" workbookViewId="0">
      <selection activeCell="I10" sqref="I10"/>
    </sheetView>
  </sheetViews>
  <sheetFormatPr defaultColWidth="9" defaultRowHeight="15" x14ac:dyDescent="0.2"/>
  <cols>
    <col min="1" max="1" width="4.85546875" style="1" customWidth="1"/>
    <col min="2" max="2" width="39.140625" style="1" customWidth="1"/>
    <col min="3" max="3" width="3.42578125" style="35" customWidth="1"/>
    <col min="4" max="4" width="6.7109375" style="1" bestFit="1" customWidth="1"/>
    <col min="5" max="5" width="9.85546875" style="1" customWidth="1"/>
    <col min="6" max="6" width="11.85546875" style="1" customWidth="1"/>
    <col min="7" max="9" width="9.140625" style="1" customWidth="1"/>
    <col min="10" max="10" width="44.5703125" style="1" bestFit="1" customWidth="1"/>
    <col min="11" max="11" width="15.7109375" style="1" bestFit="1" customWidth="1"/>
    <col min="12" max="219" width="9.140625" style="1" customWidth="1"/>
    <col min="220" max="220" width="1.5703125" style="1" customWidth="1"/>
    <col min="221" max="221" width="4.85546875" style="1" customWidth="1"/>
    <col min="222" max="222" width="35" style="1" customWidth="1"/>
    <col min="223" max="223" width="2.140625" style="1" customWidth="1"/>
    <col min="224" max="224" width="6.5703125" style="1" customWidth="1"/>
    <col min="225" max="225" width="7.85546875" style="1" customWidth="1"/>
    <col min="226" max="229" width="7.42578125" style="1" customWidth="1"/>
    <col min="230" max="230" width="7.5703125" style="1" customWidth="1"/>
    <col min="231" max="16384" width="9" style="3"/>
  </cols>
  <sheetData>
    <row r="1" spans="1:11" x14ac:dyDescent="0.2">
      <c r="B1" s="2"/>
      <c r="C1" s="2"/>
      <c r="D1" s="2"/>
      <c r="E1" s="2"/>
      <c r="F1" s="2"/>
    </row>
    <row r="2" spans="1:11" x14ac:dyDescent="0.2">
      <c r="B2" s="160" t="s">
        <v>0</v>
      </c>
      <c r="C2" s="161"/>
      <c r="D2" s="161"/>
      <c r="E2" s="161"/>
      <c r="F2" s="161"/>
    </row>
    <row r="3" spans="1:11" ht="15.75" thickBot="1" x14ac:dyDescent="0.25">
      <c r="B3" s="4" t="s">
        <v>1</v>
      </c>
      <c r="C3" s="162"/>
      <c r="D3" s="163"/>
      <c r="E3" s="163"/>
      <c r="F3" s="163"/>
    </row>
    <row r="4" spans="1:11" s="1" customFormat="1" ht="15.75" thickBot="1" x14ac:dyDescent="0.3">
      <c r="B4" s="5" t="s">
        <v>2</v>
      </c>
      <c r="C4" s="164"/>
      <c r="D4" s="165"/>
      <c r="E4" s="165"/>
      <c r="F4" s="165"/>
      <c r="J4" s="135" t="s">
        <v>98</v>
      </c>
      <c r="K4" s="136" t="s">
        <v>99</v>
      </c>
    </row>
    <row r="5" spans="1:11" s="1" customFormat="1" ht="30.75" thickBot="1" x14ac:dyDescent="0.3">
      <c r="B5" s="5" t="s">
        <v>3</v>
      </c>
      <c r="C5" s="166"/>
      <c r="D5" s="167"/>
      <c r="E5" s="167"/>
      <c r="F5" s="167"/>
      <c r="J5" s="137" t="s">
        <v>100</v>
      </c>
      <c r="K5" s="138" t="s">
        <v>101</v>
      </c>
    </row>
    <row r="6" spans="1:11" s="1" customFormat="1" x14ac:dyDescent="0.25">
      <c r="B6" s="6" t="s">
        <v>4</v>
      </c>
      <c r="C6" s="6"/>
      <c r="D6" s="6"/>
      <c r="E6" s="6"/>
      <c r="F6" s="7">
        <v>0.25</v>
      </c>
      <c r="J6" s="139" t="s">
        <v>9</v>
      </c>
      <c r="K6" s="140">
        <v>7400</v>
      </c>
    </row>
    <row r="7" spans="1:11" s="1" customFormat="1" ht="25.5" x14ac:dyDescent="0.25">
      <c r="B7" s="6" t="s">
        <v>5</v>
      </c>
      <c r="C7" s="8" t="s">
        <v>6</v>
      </c>
      <c r="D7" s="8" t="s">
        <v>7</v>
      </c>
      <c r="E7" s="9" t="s">
        <v>8</v>
      </c>
      <c r="F7" s="10" t="s">
        <v>34</v>
      </c>
      <c r="J7" s="141" t="s">
        <v>102</v>
      </c>
      <c r="K7" s="142">
        <v>5184</v>
      </c>
    </row>
    <row r="8" spans="1:11" s="1" customFormat="1" x14ac:dyDescent="0.25">
      <c r="B8" s="11"/>
      <c r="C8" s="12"/>
      <c r="D8" s="12"/>
      <c r="E8" s="13"/>
      <c r="F8" s="14"/>
      <c r="J8" s="143" t="s">
        <v>103</v>
      </c>
      <c r="K8" s="144">
        <f t="shared" ref="K8" si="0">ROUNDUP(SUM(K6:K7),0)</f>
        <v>12584</v>
      </c>
    </row>
    <row r="9" spans="1:11" s="1" customFormat="1" x14ac:dyDescent="0.25">
      <c r="B9" s="15" t="s">
        <v>9</v>
      </c>
      <c r="C9" s="16" t="s">
        <v>10</v>
      </c>
      <c r="D9" s="15"/>
      <c r="E9" s="17"/>
      <c r="F9" s="18">
        <v>10021</v>
      </c>
      <c r="J9" s="143" t="s">
        <v>104</v>
      </c>
      <c r="K9" s="142"/>
    </row>
    <row r="10" spans="1:11" s="1" customFormat="1" x14ac:dyDescent="0.25">
      <c r="B10" s="15" t="s">
        <v>11</v>
      </c>
      <c r="C10" s="16" t="s">
        <v>10</v>
      </c>
      <c r="D10" s="15"/>
      <c r="E10" s="17"/>
      <c r="F10" s="18">
        <v>1430</v>
      </c>
      <c r="J10" s="141" t="s">
        <v>105</v>
      </c>
      <c r="K10" s="142">
        <f t="shared" ref="K10" si="1">SUM(K6:K7)*15%</f>
        <v>1887.6</v>
      </c>
    </row>
    <row r="11" spans="1:11" s="1" customFormat="1" x14ac:dyDescent="0.25">
      <c r="A11" s="19"/>
      <c r="B11" s="20" t="s">
        <v>12</v>
      </c>
      <c r="C11" s="21"/>
      <c r="D11" s="20"/>
      <c r="E11" s="22"/>
      <c r="F11" s="23">
        <f t="shared" ref="F11" si="2">SUM(F9:F10)</f>
        <v>11451</v>
      </c>
      <c r="J11" s="141" t="s">
        <v>73</v>
      </c>
      <c r="K11" s="142">
        <v>700</v>
      </c>
    </row>
    <row r="12" spans="1:11" s="1" customFormat="1" x14ac:dyDescent="0.25">
      <c r="A12" s="19"/>
      <c r="B12" s="20"/>
      <c r="C12" s="21"/>
      <c r="D12" s="20"/>
      <c r="E12" s="22"/>
      <c r="F12" s="23"/>
      <c r="J12" s="141" t="s">
        <v>14</v>
      </c>
      <c r="K12" s="142">
        <v>500</v>
      </c>
    </row>
    <row r="13" spans="1:11" s="1" customFormat="1" x14ac:dyDescent="0.25">
      <c r="B13" s="24" t="s">
        <v>13</v>
      </c>
      <c r="C13" s="16" t="s">
        <v>10</v>
      </c>
      <c r="D13" s="15"/>
      <c r="E13" s="17"/>
      <c r="F13" s="18">
        <f>F11*F6</f>
        <v>2862.75</v>
      </c>
      <c r="J13" s="141" t="s">
        <v>106</v>
      </c>
      <c r="K13" s="142">
        <v>0</v>
      </c>
    </row>
    <row r="14" spans="1:11" s="1" customFormat="1" x14ac:dyDescent="0.25">
      <c r="B14" s="24" t="s">
        <v>14</v>
      </c>
      <c r="C14" s="16" t="s">
        <v>15</v>
      </c>
      <c r="D14" s="15"/>
      <c r="E14" s="17"/>
      <c r="F14" s="18"/>
      <c r="J14" s="143" t="s">
        <v>107</v>
      </c>
      <c r="K14" s="144">
        <f t="shared" ref="K14" si="3">SUM(K10:K13)</f>
        <v>3087.6</v>
      </c>
    </row>
    <row r="15" spans="1:11" s="1" customFormat="1" x14ac:dyDescent="0.25">
      <c r="B15" s="24" t="s">
        <v>16</v>
      </c>
      <c r="C15" s="16" t="s">
        <v>15</v>
      </c>
      <c r="D15" s="15"/>
      <c r="E15" s="17"/>
      <c r="F15" s="18"/>
      <c r="J15" s="143" t="s">
        <v>108</v>
      </c>
      <c r="K15" s="144">
        <f t="shared" ref="K15" si="4">ROUNDUP((K6+K7+K14),0)</f>
        <v>15672</v>
      </c>
    </row>
    <row r="16" spans="1:11" s="1" customFormat="1" x14ac:dyDescent="0.25">
      <c r="B16" s="24"/>
      <c r="C16" s="16"/>
      <c r="D16" s="15"/>
      <c r="E16" s="17"/>
      <c r="F16" s="18"/>
      <c r="J16" s="143" t="s">
        <v>109</v>
      </c>
      <c r="K16" s="142"/>
    </row>
    <row r="17" spans="2:11" s="1" customFormat="1" x14ac:dyDescent="0.25">
      <c r="B17" s="20" t="s">
        <v>17</v>
      </c>
      <c r="C17" s="21"/>
      <c r="D17" s="20"/>
      <c r="E17" s="22"/>
      <c r="F17" s="23">
        <f t="shared" ref="F17" si="5">SUM(F11:F16)</f>
        <v>14313.75</v>
      </c>
      <c r="J17" s="141" t="s">
        <v>110</v>
      </c>
      <c r="K17" s="142">
        <f>(K15-K10)*13%</f>
        <v>1791.972</v>
      </c>
    </row>
    <row r="18" spans="2:11" s="1" customFormat="1" x14ac:dyDescent="0.25">
      <c r="B18" s="20"/>
      <c r="C18" s="21"/>
      <c r="D18" s="20"/>
      <c r="E18" s="22"/>
      <c r="F18" s="23"/>
      <c r="J18" s="141" t="s">
        <v>111</v>
      </c>
      <c r="K18" s="142">
        <f>(K15-K12)*3.25%</f>
        <v>493.09000000000003</v>
      </c>
    </row>
    <row r="19" spans="2:11" s="1" customFormat="1" x14ac:dyDescent="0.25">
      <c r="B19" s="15" t="s">
        <v>18</v>
      </c>
      <c r="C19" s="21"/>
      <c r="D19" s="20"/>
      <c r="E19" s="22"/>
      <c r="F19" s="18">
        <f>IF(F17&gt;10000,200,IF(F17&gt;7500,175,0))</f>
        <v>200</v>
      </c>
      <c r="J19" s="145" t="s">
        <v>112</v>
      </c>
      <c r="K19" s="146">
        <f>K8*8.33%</f>
        <v>1048.2472</v>
      </c>
    </row>
    <row r="20" spans="2:11" s="1" customFormat="1" x14ac:dyDescent="0.25">
      <c r="B20" s="15" t="s">
        <v>19</v>
      </c>
      <c r="C20" s="16" t="s">
        <v>10</v>
      </c>
      <c r="D20" s="25">
        <v>7.4999999999999997E-3</v>
      </c>
      <c r="E20" s="26" t="s">
        <v>20</v>
      </c>
      <c r="F20" s="18">
        <f t="shared" ref="F20" si="6">IF(F17&gt;21000,0,IF(F17&lt;21000,F17*$D$20,0))</f>
        <v>107.35312499999999</v>
      </c>
      <c r="J20" s="141" t="s">
        <v>113</v>
      </c>
      <c r="K20" s="142">
        <f>K8*4%</f>
        <v>503.36</v>
      </c>
    </row>
    <row r="21" spans="2:11" s="1" customFormat="1" x14ac:dyDescent="0.25">
      <c r="B21" s="15" t="s">
        <v>21</v>
      </c>
      <c r="C21" s="16" t="s">
        <v>10</v>
      </c>
      <c r="D21" s="25">
        <v>0.12</v>
      </c>
      <c r="E21" s="26" t="s">
        <v>22</v>
      </c>
      <c r="F21" s="18">
        <f t="shared" ref="F21" si="7">IF(F17-F13&gt;=15000,15000*$D$21,IF(F17-F13&lt;15000,(F17-F13)*$D$21,0))</f>
        <v>1374.12</v>
      </c>
      <c r="J21" s="141" t="s">
        <v>114</v>
      </c>
      <c r="K21" s="142">
        <f>K8*1%</f>
        <v>125.84</v>
      </c>
    </row>
    <row r="22" spans="2:11" s="1" customFormat="1" x14ac:dyDescent="0.25">
      <c r="B22" s="27"/>
      <c r="C22" s="27"/>
      <c r="D22" s="27"/>
      <c r="E22" s="27"/>
      <c r="F22" s="27"/>
      <c r="J22" s="143" t="s">
        <v>115</v>
      </c>
      <c r="K22" s="147">
        <f>SUM(K17:K21)</f>
        <v>3962.5092</v>
      </c>
    </row>
    <row r="23" spans="2:11" s="1" customFormat="1" x14ac:dyDescent="0.25">
      <c r="B23" s="20" t="s">
        <v>23</v>
      </c>
      <c r="C23" s="21"/>
      <c r="D23" s="11"/>
      <c r="E23" s="28"/>
      <c r="F23" s="23">
        <f>+F17-SUM(F19:F22)</f>
        <v>12632.276875</v>
      </c>
      <c r="J23" s="143" t="s">
        <v>116</v>
      </c>
      <c r="K23" s="147">
        <f>+K15+K22</f>
        <v>19634.5092</v>
      </c>
    </row>
    <row r="24" spans="2:11" s="1" customFormat="1" x14ac:dyDescent="0.25">
      <c r="B24" s="20"/>
      <c r="C24" s="21"/>
      <c r="D24" s="11"/>
      <c r="E24" s="28"/>
      <c r="F24" s="23"/>
      <c r="J24" s="141" t="s">
        <v>117</v>
      </c>
      <c r="K24" s="148">
        <f>K8/2</f>
        <v>6292</v>
      </c>
    </row>
    <row r="25" spans="2:11" s="1" customFormat="1" x14ac:dyDescent="0.25">
      <c r="B25" s="15" t="s">
        <v>19</v>
      </c>
      <c r="C25" s="16" t="s">
        <v>10</v>
      </c>
      <c r="D25" s="25">
        <v>3.7499999999999999E-2</v>
      </c>
      <c r="E25" s="26" t="s">
        <v>20</v>
      </c>
      <c r="F25" s="18">
        <f t="shared" ref="F25" si="8">IF(F17&gt;21000,0,IF(F17&lt;21000,F17*$D$25,0))</f>
        <v>536.765625</v>
      </c>
      <c r="J25" s="143" t="s">
        <v>116</v>
      </c>
      <c r="K25" s="147">
        <f>+K23+K24</f>
        <v>25926.5092</v>
      </c>
    </row>
    <row r="26" spans="2:11" s="1" customFormat="1" ht="15.75" thickBot="1" x14ac:dyDescent="0.3">
      <c r="B26" s="15" t="s">
        <v>24</v>
      </c>
      <c r="C26" s="16"/>
      <c r="D26" s="25"/>
      <c r="E26" s="26"/>
      <c r="F26" s="18"/>
      <c r="J26" s="130" t="s">
        <v>95</v>
      </c>
      <c r="K26" s="149">
        <v>1800</v>
      </c>
    </row>
    <row r="27" spans="2:11" s="1" customFormat="1" ht="15.75" thickBot="1" x14ac:dyDescent="0.3">
      <c r="B27" s="15" t="s">
        <v>21</v>
      </c>
      <c r="C27" s="16" t="s">
        <v>10</v>
      </c>
      <c r="D27" s="25">
        <v>0.13</v>
      </c>
      <c r="E27" s="26" t="s">
        <v>22</v>
      </c>
      <c r="F27" s="18">
        <f t="shared" ref="F27" si="9">IF(F17-F13&gt;=15000,15000*$D$27,IF(F17-F13&lt;15000,(F17-F13)*$D$27,0))</f>
        <v>1488.63</v>
      </c>
      <c r="J27" s="137" t="s">
        <v>116</v>
      </c>
      <c r="K27" s="150">
        <f>+K25+K26</f>
        <v>27726.5092</v>
      </c>
    </row>
    <row r="28" spans="2:11" s="1" customFormat="1" ht="12.75" x14ac:dyDescent="0.2">
      <c r="B28" s="15" t="s">
        <v>25</v>
      </c>
      <c r="C28" s="16" t="s">
        <v>10</v>
      </c>
      <c r="D28" s="25">
        <v>8.3299999999999999E-2</v>
      </c>
      <c r="E28" s="26" t="s">
        <v>22</v>
      </c>
      <c r="F28" s="18">
        <f t="shared" ref="F28" si="10">F11*$D$28</f>
        <v>953.86829999999998</v>
      </c>
    </row>
    <row r="29" spans="2:11" s="1" customFormat="1" ht="12.75" x14ac:dyDescent="0.2">
      <c r="B29" s="24" t="s">
        <v>26</v>
      </c>
      <c r="C29" s="16" t="s">
        <v>10</v>
      </c>
      <c r="D29" s="25">
        <v>8.3299999999999999E-2</v>
      </c>
      <c r="E29" s="26" t="s">
        <v>20</v>
      </c>
      <c r="F29" s="18">
        <f t="shared" ref="F29" si="11">F17*$D$29</f>
        <v>1192.3353749999999</v>
      </c>
    </row>
    <row r="30" spans="2:11" s="1" customFormat="1" ht="12.75" x14ac:dyDescent="0.2">
      <c r="B30" s="24" t="s">
        <v>27</v>
      </c>
      <c r="C30" s="16" t="s">
        <v>10</v>
      </c>
      <c r="D30" s="25">
        <v>4.8099999999999997E-2</v>
      </c>
      <c r="E30" s="26" t="s">
        <v>28</v>
      </c>
      <c r="F30" s="18">
        <f>F17*$D$30</f>
        <v>688.49137499999995</v>
      </c>
    </row>
    <row r="31" spans="2:11" s="1" customFormat="1" ht="12.75" x14ac:dyDescent="0.2">
      <c r="B31" s="17" t="s">
        <v>29</v>
      </c>
      <c r="C31" s="16" t="s">
        <v>15</v>
      </c>
      <c r="D31" s="25"/>
      <c r="E31" s="26"/>
      <c r="F31" s="18">
        <v>350</v>
      </c>
    </row>
    <row r="32" spans="2:11" s="1" customFormat="1" ht="12.75" x14ac:dyDescent="0.2">
      <c r="B32" s="17" t="s">
        <v>30</v>
      </c>
      <c r="C32" s="16" t="s">
        <v>15</v>
      </c>
      <c r="D32" s="25"/>
      <c r="E32" s="26"/>
      <c r="F32" s="18">
        <v>150</v>
      </c>
    </row>
    <row r="33" spans="2:6" s="1" customFormat="1" ht="12.75" x14ac:dyDescent="0.2">
      <c r="B33" s="29" t="s">
        <v>31</v>
      </c>
      <c r="C33" s="30"/>
      <c r="D33" s="6"/>
      <c r="E33" s="31"/>
      <c r="F33" s="32">
        <f>SUM(F25:F32)</f>
        <v>5360.0906749999995</v>
      </c>
    </row>
    <row r="34" spans="2:6" s="1" customFormat="1" ht="12.75" x14ac:dyDescent="0.2">
      <c r="B34" s="15" t="s">
        <v>32</v>
      </c>
      <c r="C34" s="16"/>
      <c r="D34" s="33">
        <v>0.16666666666666666</v>
      </c>
      <c r="E34" s="26"/>
      <c r="F34" s="18"/>
    </row>
    <row r="35" spans="2:6" s="1" customFormat="1" ht="12.75" x14ac:dyDescent="0.2">
      <c r="B35" s="29" t="s">
        <v>33</v>
      </c>
      <c r="C35" s="30"/>
      <c r="D35" s="29"/>
      <c r="E35" s="34"/>
      <c r="F35" s="32">
        <f>F17+F33+F34</f>
        <v>19673.840674999999</v>
      </c>
    </row>
  </sheetData>
  <mergeCells count="2">
    <mergeCell ref="B2:F2"/>
    <mergeCell ref="C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 Mumbai </vt:lpstr>
      <vt:lpstr>CS Pune </vt:lpstr>
      <vt:lpstr>Wage breakup Mumbai </vt:lpstr>
      <vt:lpstr>Wage breakup Pune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2021-08-17T07:39:15Z</cp:lastPrinted>
  <dcterms:created xsi:type="dcterms:W3CDTF">2021-06-28T10:26:07Z</dcterms:created>
  <dcterms:modified xsi:type="dcterms:W3CDTF">2021-08-17T07:50:09Z</dcterms:modified>
</cp:coreProperties>
</file>