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\Desktop\Sheth Avalon\"/>
    </mc:Choice>
  </mc:AlternateContent>
  <bookViews>
    <workbookView xWindow="0" yWindow="0" windowWidth="20490" windowHeight="7620" activeTab="2"/>
  </bookViews>
  <sheets>
    <sheet name="Cost Schedule" sheetId="2" r:id="rId1"/>
    <sheet name="Sheet1" sheetId="10" r:id="rId2"/>
    <sheet name="Wage Structure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9" l="1"/>
  <c r="K11" i="9" s="1"/>
  <c r="K27" i="9" l="1"/>
  <c r="K13" i="9"/>
  <c r="K28" i="9"/>
  <c r="K17" i="9"/>
  <c r="K21" i="9" l="1"/>
  <c r="K19" i="9"/>
  <c r="K23" i="9"/>
  <c r="K26" i="9"/>
  <c r="K20" i="9"/>
  <c r="K25" i="9"/>
  <c r="K34" i="9" s="1"/>
  <c r="K35" i="9" s="1"/>
  <c r="K36" i="9" l="1"/>
  <c r="J28" i="9" l="1"/>
  <c r="I28" i="9"/>
  <c r="H28" i="9"/>
  <c r="G28" i="9"/>
  <c r="F28" i="9"/>
  <c r="I19" i="2" l="1"/>
  <c r="H19" i="2"/>
  <c r="G19" i="2"/>
  <c r="F19" i="2"/>
  <c r="J14" i="2"/>
  <c r="J13" i="2"/>
  <c r="J11" i="9" l="1"/>
  <c r="I11" i="9"/>
  <c r="F11" i="10"/>
  <c r="F10" i="10"/>
  <c r="F5" i="10"/>
  <c r="F12" i="10"/>
  <c r="J13" i="9" l="1"/>
  <c r="J17" i="9" s="1"/>
  <c r="J27" i="9"/>
  <c r="I27" i="9"/>
  <c r="I13" i="9"/>
  <c r="I17" i="9" s="1"/>
  <c r="J18" i="2"/>
  <c r="K18" i="2" s="1"/>
  <c r="J17" i="2"/>
  <c r="J19" i="2" l="1"/>
  <c r="J25" i="9"/>
  <c r="J19" i="9"/>
  <c r="J21" i="9"/>
  <c r="J20" i="9"/>
  <c r="J26" i="9"/>
  <c r="I25" i="9"/>
  <c r="I19" i="9"/>
  <c r="I21" i="9"/>
  <c r="I26" i="9"/>
  <c r="I20" i="9"/>
  <c r="I34" i="9" l="1"/>
  <c r="I35" i="9" s="1"/>
  <c r="J23" i="9"/>
  <c r="I23" i="9"/>
  <c r="J34" i="9"/>
  <c r="I36" i="9"/>
  <c r="F15" i="2"/>
  <c r="E13" i="2" l="1"/>
  <c r="K13" i="2" s="1"/>
  <c r="E6" i="10"/>
  <c r="F6" i="10" s="1"/>
  <c r="J35" i="9"/>
  <c r="J36" i="9" s="1"/>
  <c r="K29" i="2"/>
  <c r="K28" i="2"/>
  <c r="K27" i="2"/>
  <c r="K26" i="2"/>
  <c r="J21" i="2"/>
  <c r="K21" i="2" s="1"/>
  <c r="E14" i="2" l="1"/>
  <c r="K14" i="2" s="1"/>
  <c r="E7" i="10"/>
  <c r="F7" i="10" s="1"/>
  <c r="H11" i="9"/>
  <c r="G11" i="9"/>
  <c r="F11" i="9"/>
  <c r="F13" i="9" l="1"/>
  <c r="H13" i="9"/>
  <c r="H17" i="9" s="1"/>
  <c r="F17" i="9"/>
  <c r="G13" i="9"/>
  <c r="G17" i="9" s="1"/>
  <c r="H27" i="9"/>
  <c r="F27" i="9"/>
  <c r="G27" i="9"/>
  <c r="F19" i="9" l="1"/>
  <c r="H21" i="9"/>
  <c r="F25" i="9"/>
  <c r="F26" i="9"/>
  <c r="F21" i="9"/>
  <c r="F20" i="9"/>
  <c r="H19" i="9"/>
  <c r="H20" i="9"/>
  <c r="H26" i="9"/>
  <c r="G19" i="9"/>
  <c r="G21" i="9"/>
  <c r="G25" i="9"/>
  <c r="G26" i="9"/>
  <c r="G20" i="9"/>
  <c r="H25" i="9"/>
  <c r="G34" i="9" l="1"/>
  <c r="G35" i="9" s="1"/>
  <c r="H34" i="9"/>
  <c r="H35" i="9" s="1"/>
  <c r="F23" i="9"/>
  <c r="G23" i="9"/>
  <c r="H23" i="9"/>
  <c r="G36" i="9" l="1"/>
  <c r="H36" i="9"/>
  <c r="E12" i="2" l="1"/>
  <c r="E8" i="10"/>
  <c r="F8" i="10" s="1"/>
  <c r="E17" i="2"/>
  <c r="K17" i="2" s="1"/>
  <c r="E9" i="10"/>
  <c r="F9" i="10" s="1"/>
  <c r="C25" i="2"/>
  <c r="C27" i="2" s="1"/>
  <c r="C28" i="2" s="1"/>
  <c r="C29" i="2" s="1"/>
  <c r="C30" i="2" s="1"/>
  <c r="C31" i="2" s="1"/>
  <c r="F16" i="10" l="1"/>
  <c r="F17" i="10" s="1"/>
  <c r="F18" i="10" s="1"/>
  <c r="K32" i="2"/>
  <c r="T33" i="2" l="1"/>
  <c r="F22" i="2"/>
  <c r="S21" i="2"/>
  <c r="T21" i="2" s="1"/>
  <c r="S12" i="2"/>
  <c r="T12" i="2" s="1"/>
  <c r="J12" i="2"/>
  <c r="K12" i="2" s="1"/>
  <c r="K15" i="2" s="1"/>
  <c r="J9" i="2"/>
  <c r="K9" i="2" l="1"/>
  <c r="K10" i="2" s="1"/>
  <c r="J10" i="2"/>
  <c r="T32" i="2" l="1"/>
  <c r="R22" i="2"/>
  <c r="Q22" i="2"/>
  <c r="P22" i="2"/>
  <c r="O22" i="2"/>
  <c r="R19" i="2"/>
  <c r="Q19" i="2"/>
  <c r="O19" i="2"/>
  <c r="P19" i="2"/>
  <c r="R15" i="2"/>
  <c r="Q15" i="2"/>
  <c r="P15" i="2"/>
  <c r="O15" i="2"/>
  <c r="T39" i="2"/>
  <c r="R10" i="2"/>
  <c r="Q10" i="2"/>
  <c r="P10" i="2"/>
  <c r="O10" i="2"/>
  <c r="S9" i="2"/>
  <c r="T9" i="2" s="1"/>
  <c r="I22" i="2"/>
  <c r="H22" i="2"/>
  <c r="G22" i="2"/>
  <c r="J22" i="2"/>
  <c r="I15" i="2"/>
  <c r="H15" i="2"/>
  <c r="G15" i="2"/>
  <c r="J15" i="2"/>
  <c r="K39" i="2"/>
  <c r="I10" i="2"/>
  <c r="H10" i="2"/>
  <c r="G10" i="2"/>
  <c r="F10" i="2"/>
  <c r="T7" i="2" l="1"/>
  <c r="T15" i="2"/>
  <c r="S22" i="2"/>
  <c r="R37" i="2"/>
  <c r="O37" i="2"/>
  <c r="Q37" i="2"/>
  <c r="H37" i="2"/>
  <c r="P37" i="2"/>
  <c r="S15" i="2"/>
  <c r="S10" i="2"/>
  <c r="S19" i="2"/>
  <c r="F37" i="2"/>
  <c r="K22" i="2"/>
  <c r="I37" i="2"/>
  <c r="G37" i="2"/>
  <c r="J38" i="2"/>
  <c r="K38" i="2" l="1"/>
  <c r="T8" i="2"/>
  <c r="T10" i="2"/>
  <c r="S38" i="2"/>
  <c r="J37" i="2"/>
  <c r="S37" i="2"/>
  <c r="T22" i="2" l="1"/>
  <c r="T38" i="2"/>
  <c r="F34" i="9" l="1"/>
  <c r="F35" i="9" s="1"/>
  <c r="F36" i="9" l="1"/>
  <c r="T19" i="2" l="1"/>
  <c r="K19" i="2"/>
  <c r="K33" i="2" s="1"/>
  <c r="T34" i="2" l="1"/>
  <c r="T37" i="2"/>
  <c r="T40" i="2" s="1"/>
  <c r="K34" i="2"/>
  <c r="K35" i="2" s="1"/>
  <c r="K37" i="2"/>
  <c r="K40" i="2" s="1"/>
</calcChain>
</file>

<file path=xl/sharedStrings.xml><?xml version="1.0" encoding="utf-8"?>
<sst xmlns="http://schemas.openxmlformats.org/spreadsheetml/2006/main" count="222" uniqueCount="134">
  <si>
    <t>G</t>
  </si>
  <si>
    <t>Cost/Head</t>
  </si>
  <si>
    <t>I</t>
  </si>
  <si>
    <t>II</t>
  </si>
  <si>
    <t>III</t>
  </si>
  <si>
    <t>Heads</t>
  </si>
  <si>
    <t>Cost/Month</t>
  </si>
  <si>
    <t>Cost</t>
  </si>
  <si>
    <t>at Actuals</t>
  </si>
  <si>
    <t>MANAGEMENT &amp; OVER HEAD CHARGES ASSESSMENT</t>
  </si>
  <si>
    <t>(MANPOWER TOTAL COST IS INCLUSIVE OF VENDOR M-FEE)</t>
  </si>
  <si>
    <t>JLL DIRECT MANPOWER COST</t>
  </si>
  <si>
    <t>% of M-FEE</t>
  </si>
  <si>
    <t>Management Team</t>
  </si>
  <si>
    <t>Billing At Actuals</t>
  </si>
  <si>
    <t>FACTOR OF CONSIDERATION</t>
  </si>
  <si>
    <t>COST</t>
  </si>
  <si>
    <t>AREA</t>
  </si>
  <si>
    <t>PHASE-4</t>
  </si>
  <si>
    <t>Facility Attendant</t>
  </si>
  <si>
    <t>High Pressure Jet Spray</t>
  </si>
  <si>
    <t>Single Disc Machine</t>
  </si>
  <si>
    <t>Manual Sweeper</t>
  </si>
  <si>
    <t>HK Supervisor</t>
  </si>
  <si>
    <t>Unit Rate (Rs.)</t>
  </si>
  <si>
    <t xml:space="preserve">Site Name - </t>
  </si>
  <si>
    <t>Sub - Total</t>
  </si>
  <si>
    <t>Shifts</t>
  </si>
  <si>
    <t>Remarks &amp; Shift Timings</t>
  </si>
  <si>
    <t>Sr.No.</t>
  </si>
  <si>
    <t>Security Team</t>
  </si>
  <si>
    <t>Soft Services</t>
  </si>
  <si>
    <t>Disposable Toiletries &amp; Garbage Bags</t>
  </si>
  <si>
    <t>Total No.</t>
  </si>
  <si>
    <t>TOTAL CHARGES</t>
  </si>
  <si>
    <t>Management Fee</t>
  </si>
  <si>
    <t>Grand Total - Monthly</t>
  </si>
  <si>
    <t>12 hours x 7 Days a Week</t>
  </si>
  <si>
    <t>9 hours x 6 Days a Week</t>
  </si>
  <si>
    <t>Break ups</t>
  </si>
  <si>
    <t>Janitor</t>
  </si>
  <si>
    <t>Basic</t>
  </si>
  <si>
    <t>S</t>
  </si>
  <si>
    <t>DA</t>
  </si>
  <si>
    <t>V</t>
  </si>
  <si>
    <t>HRA</t>
  </si>
  <si>
    <t>Gross</t>
  </si>
  <si>
    <t>Basic+DA</t>
  </si>
  <si>
    <t>Leave Wages  (CL, PL, SL)</t>
  </si>
  <si>
    <t>Washing Allowance</t>
  </si>
  <si>
    <t xml:space="preserve">Other Allowances </t>
  </si>
  <si>
    <t>Gross Salary</t>
  </si>
  <si>
    <t>S/V</t>
  </si>
  <si>
    <t>Taken On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</si>
  <si>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</si>
  <si>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</si>
  <si>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</si>
  <si>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</si>
  <si>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</si>
  <si>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</si>
  <si>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>National Holidays Days Holidays</t>
  </si>
  <si>
    <t xml:space="preserve">Uniform, Shoes, PPE </t>
  </si>
  <si>
    <t>Documentation &amp; BGV</t>
  </si>
  <si>
    <t>1/6 Reliever Charge (if applicable)</t>
  </si>
  <si>
    <t>TOTAL CTC</t>
  </si>
  <si>
    <t>Sub Total CTC</t>
  </si>
  <si>
    <t>State - Maharashtra</t>
  </si>
  <si>
    <t>Wage - State Wage, Zone - 1</t>
  </si>
  <si>
    <t>Wage Schedule</t>
  </si>
  <si>
    <t>Basic + DA</t>
  </si>
  <si>
    <t>HRA%</t>
  </si>
  <si>
    <t>Min. Wage Year Notification - Jan'21 to Jun'21</t>
  </si>
  <si>
    <t>City: Mumbai</t>
  </si>
  <si>
    <t>MST</t>
  </si>
  <si>
    <t>Gratuity</t>
  </si>
  <si>
    <t>At Actual</t>
  </si>
  <si>
    <t>Housekeepnig Consumables &amp; Supplies/Tools &amp; Tackles</t>
  </si>
  <si>
    <t>Wet &amp; Dry Vacuum Cleaner - 30 Ltr</t>
  </si>
  <si>
    <t>Sila to provide at actual; No charge if provided by client</t>
  </si>
  <si>
    <t>Terms</t>
  </si>
  <si>
    <t>Taxes as applicable</t>
  </si>
  <si>
    <t>Revision in rates will be deemed approved as per Minimum Wage Notification from the date thereof</t>
  </si>
  <si>
    <t>Uniforms costs are included, however, for customized uniforms - we will bill on actuals</t>
  </si>
  <si>
    <t>Payments Terms - 30 Days</t>
  </si>
  <si>
    <t>SILA will deploy a transition team on site upto a week before the start date to take a handover, and same will be billed to client</t>
  </si>
  <si>
    <t>SILA will recriut candidates for management team at optimum rates, within the budget. Values reflecting are indicative of market rates</t>
  </si>
  <si>
    <t>To be used at peripheral area</t>
  </si>
  <si>
    <t>Used for scrubbing n buffing all lobby area</t>
  </si>
  <si>
    <t>Used for wet &amp; Dry Vcuuming</t>
  </si>
  <si>
    <t>Consubables, Machinery &amp; Pest Management</t>
  </si>
  <si>
    <t>Technical Team</t>
  </si>
  <si>
    <t>Rel</t>
  </si>
  <si>
    <t>Laptop &amp; Communication Charge</t>
  </si>
  <si>
    <t>Pest Management (GPMS, Rodent Control, Mosquito Treatment)</t>
  </si>
  <si>
    <t>Frequency- Twice Monthly</t>
  </si>
  <si>
    <t>Multi Skilled Technician</t>
  </si>
  <si>
    <t>Sheth Avalon Tower G</t>
  </si>
  <si>
    <t>SILA will provide on statutory documentation each month.</t>
  </si>
  <si>
    <t>HK Staff</t>
  </si>
  <si>
    <t>Lift Attendant</t>
  </si>
  <si>
    <t>Sr. No</t>
  </si>
  <si>
    <t xml:space="preserve">Description </t>
  </si>
  <si>
    <t>Qty</t>
  </si>
  <si>
    <t>Rate</t>
  </si>
  <si>
    <t>Amount</t>
  </si>
  <si>
    <t>Tower Cordinator</t>
  </si>
  <si>
    <t>Electrician in General Shift with tools</t>
  </si>
  <si>
    <t>Plumber in General Shift with tools</t>
  </si>
  <si>
    <t>MST in Night Shift with tools</t>
  </si>
  <si>
    <t>Housekeepers</t>
  </si>
  <si>
    <t>Security (12 hrs x 7 days)</t>
  </si>
  <si>
    <t>Lift Attendant (12 hrs x 7 days)</t>
  </si>
  <si>
    <t>Water Tank Cleaning, Façade Cleaning Drainage Cleaning- Quarterly</t>
  </si>
  <si>
    <t>Cleaning Equipments</t>
  </si>
  <si>
    <t>Cleaning Consumables</t>
  </si>
  <si>
    <t>Electrician</t>
  </si>
  <si>
    <t>Plumber</t>
  </si>
  <si>
    <t>Tools &amp; Tackles</t>
  </si>
  <si>
    <t>Pest Management (Fortnightly)</t>
  </si>
  <si>
    <t>Remarks &amp; Shift Timing</t>
  </si>
  <si>
    <t>Total Charges</t>
  </si>
  <si>
    <t>Mgmt Fee @ 9%</t>
  </si>
  <si>
    <t>Grand Total</t>
  </si>
  <si>
    <t>9 Hrs x 6 Days a week</t>
  </si>
  <si>
    <t>12 Hrs x 7 Days a week</t>
  </si>
  <si>
    <t>GPMS, Rodent Control, Mosquito Fogging</t>
  </si>
  <si>
    <t>Tower Co-ordinator</t>
  </si>
  <si>
    <t>Work on Statutory Holidays will be billed at 3X - 26th January, 1st May, 15th August, 2nd October and 4 other national holidays which will be chosen by the client</t>
  </si>
  <si>
    <t>Budget Cap of 6k. First Month budget to be 3x of Monthly budget</t>
  </si>
  <si>
    <t>Bags to be provided by the CHS to residents at actuals</t>
  </si>
  <si>
    <t>Proposal Date - 21.08.2021</t>
  </si>
  <si>
    <t>Actual</t>
  </si>
  <si>
    <t>Tower Co-ordinator will be recruited at optimum rates within the budget. Billing will be at actual CTC, price indicative is at 50k Cap. The resource will have hard services background
9 hours x 6 Days a Week</t>
  </si>
  <si>
    <t>Lift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</si>
</sst>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>
      <protection locked="0"/>
    </xf>
    <xf numFmtId="0" fontId="18" fillId="0" borderId="0">
      <alignment vertical="center"/>
    </xf>
    <xf numFmtId="43" fontId="2" fillId="0" borderId="0">
      <alignment vertical="top"/>
      <protection locked="0"/>
    </xf>
    <xf numFmtId="9" fontId="2" fillId="0" borderId="0">
      <alignment vertical="top"/>
      <protection locked="0"/>
    </xf>
    <xf numFmtId="0" fontId="1" fillId="0" borderId="0"/>
    <xf numFmtId="164" fontId="1" fillId="0" borderId="0" applyFont="0" applyFill="0" applyBorder="0" applyAlignment="0" applyProtection="0"/>
    <xf numFmtId="0" fontId="20" fillId="0" borderId="0"/>
  </cellStyleXfs>
  <cellXfs count="260">
    <xf numFmtId="0" fontId="0" fillId="0" borderId="0" xfId="0"/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165" fontId="6" fillId="2" borderId="24" xfId="1" applyNumberFormat="1" applyFont="1" applyFill="1" applyBorder="1" applyAlignment="1">
      <alignment horizontal="center" vertical="center"/>
    </xf>
    <xf numFmtId="165" fontId="6" fillId="2" borderId="25" xfId="1" applyNumberFormat="1" applyFont="1" applyFill="1" applyBorder="1" applyAlignment="1">
      <alignment horizontal="center" vertical="center"/>
    </xf>
    <xf numFmtId="165" fontId="6" fillId="2" borderId="26" xfId="1" applyNumberFormat="1" applyFont="1" applyFill="1" applyBorder="1" applyAlignment="1">
      <alignment horizontal="center" vertical="center"/>
    </xf>
    <xf numFmtId="165" fontId="7" fillId="3" borderId="12" xfId="3" applyNumberFormat="1" applyFont="1" applyFill="1" applyBorder="1" applyAlignment="1">
      <alignment vertical="center"/>
    </xf>
    <xf numFmtId="165" fontId="6" fillId="3" borderId="13" xfId="1" applyNumberFormat="1" applyFont="1" applyFill="1" applyBorder="1" applyAlignment="1">
      <alignment horizontal="center" vertical="center"/>
    </xf>
    <xf numFmtId="165" fontId="6" fillId="3" borderId="4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9" fontId="6" fillId="3" borderId="14" xfId="3" applyFont="1" applyFill="1" applyBorder="1" applyAlignment="1">
      <alignment horizontal="right" vertical="center"/>
    </xf>
    <xf numFmtId="165" fontId="4" fillId="2" borderId="4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 applyAlignment="1">
      <alignment horizontal="center" vertical="center"/>
    </xf>
    <xf numFmtId="0" fontId="4" fillId="2" borderId="0" xfId="0" applyFont="1" applyFill="1"/>
    <xf numFmtId="43" fontId="4" fillId="2" borderId="13" xfId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/>
    </xf>
    <xf numFmtId="0" fontId="5" fillId="2" borderId="0" xfId="0" applyFont="1" applyFill="1"/>
    <xf numFmtId="165" fontId="6" fillId="3" borderId="3" xfId="1" applyNumberFormat="1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/>
    </xf>
    <xf numFmtId="165" fontId="6" fillId="3" borderId="16" xfId="1" applyNumberFormat="1" applyFont="1" applyFill="1" applyBorder="1" applyAlignment="1">
      <alignment horizontal="center" vertical="center"/>
    </xf>
    <xf numFmtId="165" fontId="6" fillId="4" borderId="13" xfId="1" applyNumberFormat="1" applyFont="1" applyFill="1" applyBorder="1" applyAlignment="1">
      <alignment horizontal="center" vertical="center"/>
    </xf>
    <xf numFmtId="165" fontId="6" fillId="4" borderId="4" xfId="1" applyNumberFormat="1" applyFont="1" applyFill="1" applyBorder="1" applyAlignment="1">
      <alignment horizontal="center" vertical="center"/>
    </xf>
    <xf numFmtId="0" fontId="6" fillId="4" borderId="4" xfId="1" applyNumberFormat="1" applyFont="1" applyFill="1" applyBorder="1" applyAlignment="1">
      <alignment horizontal="center" vertical="center"/>
    </xf>
    <xf numFmtId="165" fontId="6" fillId="4" borderId="14" xfId="1" applyNumberFormat="1" applyFont="1" applyFill="1" applyBorder="1" applyAlignment="1">
      <alignment horizontal="center" vertical="center"/>
    </xf>
    <xf numFmtId="165" fontId="6" fillId="3" borderId="4" xfId="1" applyNumberFormat="1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165" fontId="6" fillId="3" borderId="13" xfId="1" applyNumberFormat="1" applyFont="1" applyFill="1" applyBorder="1" applyAlignment="1">
      <alignment horizontal="center"/>
    </xf>
    <xf numFmtId="165" fontId="6" fillId="3" borderId="14" xfId="1" applyNumberFormat="1" applyFont="1" applyFill="1" applyBorder="1" applyAlignment="1">
      <alignment horizontal="center"/>
    </xf>
    <xf numFmtId="165" fontId="6" fillId="4" borderId="13" xfId="1" applyNumberFormat="1" applyFont="1" applyFill="1" applyBorder="1" applyAlignment="1">
      <alignment horizontal="center" vertical="top"/>
    </xf>
    <xf numFmtId="165" fontId="6" fillId="4" borderId="4" xfId="1" applyNumberFormat="1" applyFont="1" applyFill="1" applyBorder="1" applyAlignment="1">
      <alignment horizontal="center" vertical="top"/>
    </xf>
    <xf numFmtId="165" fontId="6" fillId="4" borderId="14" xfId="1" applyNumberFormat="1" applyFont="1" applyFill="1" applyBorder="1" applyAlignment="1">
      <alignment horizontal="center" vertical="top"/>
    </xf>
    <xf numFmtId="165" fontId="4" fillId="2" borderId="14" xfId="1" applyNumberFormat="1" applyFont="1" applyFill="1" applyBorder="1" applyAlignment="1">
      <alignment horizontal="center"/>
    </xf>
    <xf numFmtId="165" fontId="8" fillId="2" borderId="15" xfId="1" applyNumberFormat="1" applyFont="1" applyFill="1" applyBorder="1" applyAlignment="1">
      <alignment horizontal="center"/>
    </xf>
    <xf numFmtId="165" fontId="8" fillId="2" borderId="5" xfId="1" applyNumberFormat="1" applyFont="1" applyFill="1" applyBorder="1" applyAlignment="1">
      <alignment horizontal="center"/>
    </xf>
    <xf numFmtId="165" fontId="8" fillId="2" borderId="3" xfId="1" applyNumberFormat="1" applyFont="1" applyFill="1" applyBorder="1" applyAlignment="1">
      <alignment horizontal="center"/>
    </xf>
    <xf numFmtId="0" fontId="10" fillId="0" borderId="0" xfId="0" applyFont="1"/>
    <xf numFmtId="165" fontId="9" fillId="5" borderId="14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165" fontId="6" fillId="0" borderId="32" xfId="1" applyNumberFormat="1" applyFont="1" applyBorder="1" applyAlignment="1">
      <alignment horizontal="center"/>
    </xf>
    <xf numFmtId="165" fontId="6" fillId="0" borderId="32" xfId="1" applyNumberFormat="1" applyFont="1" applyBorder="1" applyAlignment="1">
      <alignment horizontal="left"/>
    </xf>
    <xf numFmtId="41" fontId="6" fillId="0" borderId="1" xfId="2" applyFont="1" applyBorder="1" applyAlignment="1">
      <alignment horizontal="center"/>
    </xf>
    <xf numFmtId="165" fontId="6" fillId="0" borderId="1" xfId="1" applyNumberFormat="1" applyFont="1" applyBorder="1" applyAlignment="1"/>
    <xf numFmtId="0" fontId="6" fillId="0" borderId="1" xfId="1" applyNumberFormat="1" applyFont="1" applyBorder="1" applyAlignment="1"/>
    <xf numFmtId="165" fontId="6" fillId="0" borderId="5" xfId="1" applyNumberFormat="1" applyFont="1" applyBorder="1" applyAlignment="1"/>
    <xf numFmtId="0" fontId="6" fillId="0" borderId="5" xfId="1" applyNumberFormat="1" applyFont="1" applyBorder="1" applyAlignment="1"/>
    <xf numFmtId="0" fontId="4" fillId="6" borderId="4" xfId="4" applyFont="1" applyFill="1" applyBorder="1" applyAlignment="1">
      <alignment horizontal="center" vertical="center"/>
    </xf>
    <xf numFmtId="0" fontId="4" fillId="6" borderId="4" xfId="4" applyFont="1" applyFill="1" applyBorder="1" applyAlignment="1">
      <alignment horizontal="left" vertical="center"/>
    </xf>
    <xf numFmtId="41" fontId="4" fillId="6" borderId="4" xfId="2" applyFont="1" applyFill="1" applyBorder="1" applyAlignment="1">
      <alignment horizontal="center" vertical="center"/>
    </xf>
    <xf numFmtId="165" fontId="3" fillId="6" borderId="4" xfId="1" applyNumberFormat="1" applyFont="1" applyFill="1" applyBorder="1" applyAlignment="1">
      <alignment horizontal="center" vertical="center"/>
    </xf>
    <xf numFmtId="0" fontId="3" fillId="6" borderId="4" xfId="1" applyNumberFormat="1" applyFont="1" applyFill="1" applyBorder="1" applyAlignment="1">
      <alignment horizontal="center" vertical="center"/>
    </xf>
    <xf numFmtId="0" fontId="14" fillId="0" borderId="0" xfId="0" applyFont="1"/>
    <xf numFmtId="0" fontId="15" fillId="2" borderId="4" xfId="4" applyFont="1" applyFill="1" applyBorder="1" applyAlignment="1">
      <alignment horizontal="center" vertical="center"/>
    </xf>
    <xf numFmtId="0" fontId="15" fillId="2" borderId="4" xfId="4" applyFont="1" applyFill="1" applyBorder="1" applyAlignment="1">
      <alignment horizontal="left" vertical="center"/>
    </xf>
    <xf numFmtId="41" fontId="15" fillId="2" borderId="4" xfId="2" applyFont="1" applyFill="1" applyBorder="1" applyAlignment="1">
      <alignment horizontal="center" vertical="center"/>
    </xf>
    <xf numFmtId="165" fontId="15" fillId="2" borderId="4" xfId="1" applyNumberFormat="1" applyFont="1" applyFill="1" applyBorder="1" applyAlignment="1">
      <alignment horizontal="center" vertical="center"/>
    </xf>
    <xf numFmtId="0" fontId="15" fillId="2" borderId="4" xfId="1" applyNumberFormat="1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/>
    </xf>
    <xf numFmtId="0" fontId="6" fillId="4" borderId="4" xfId="4" applyFont="1" applyFill="1" applyBorder="1" applyAlignment="1">
      <alignment horizontal="left"/>
    </xf>
    <xf numFmtId="41" fontId="6" fillId="4" borderId="4" xfId="2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4" fillId="0" borderId="4" xfId="4" applyFont="1" applyBorder="1" applyAlignment="1">
      <alignment horizontal="center"/>
    </xf>
    <xf numFmtId="0" fontId="4" fillId="0" borderId="4" xfId="4" applyFont="1" applyBorder="1" applyAlignment="1">
      <alignment horizontal="left"/>
    </xf>
    <xf numFmtId="41" fontId="4" fillId="0" borderId="4" xfId="2" applyFont="1" applyBorder="1" applyAlignment="1">
      <alignment horizontal="center"/>
    </xf>
    <xf numFmtId="165" fontId="4" fillId="0" borderId="4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9" fontId="7" fillId="0" borderId="4" xfId="3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1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6" fillId="0" borderId="0" xfId="11" applyFont="1" applyProtection="1"/>
    <xf numFmtId="0" fontId="17" fillId="0" borderId="0" xfId="11" applyFont="1" applyAlignment="1" applyProtection="1">
      <alignment horizontal="center" vertical="center"/>
    </xf>
    <xf numFmtId="3" fontId="16" fillId="0" borderId="0" xfId="11" applyNumberFormat="1" applyFont="1" applyProtection="1"/>
    <xf numFmtId="0" fontId="16" fillId="0" borderId="4" xfId="11" applyFont="1" applyBorder="1" applyProtection="1"/>
    <xf numFmtId="0" fontId="18" fillId="0" borderId="0" xfId="12">
      <alignment vertical="center"/>
    </xf>
    <xf numFmtId="0" fontId="6" fillId="0" borderId="4" xfId="11" applyFont="1" applyFill="1" applyBorder="1" applyProtection="1"/>
    <xf numFmtId="0" fontId="6" fillId="0" borderId="4" xfId="11" applyFont="1" applyFill="1" applyBorder="1" applyAlignment="1" applyProtection="1">
      <alignment horizontal="center" vertical="center"/>
    </xf>
    <xf numFmtId="0" fontId="6" fillId="0" borderId="4" xfId="11" applyFont="1" applyFill="1" applyBorder="1" applyAlignment="1" applyProtection="1">
      <alignment horizontal="center" vertical="center" wrapText="1"/>
    </xf>
    <xf numFmtId="0" fontId="4" fillId="0" borderId="4" xfId="11" applyFont="1" applyFill="1" applyBorder="1" applyProtection="1"/>
    <xf numFmtId="0" fontId="4" fillId="0" borderId="4" xfId="11" applyFont="1" applyFill="1" applyBorder="1" applyAlignment="1" applyProtection="1">
      <alignment wrapText="1"/>
    </xf>
    <xf numFmtId="3" fontId="4" fillId="0" borderId="4" xfId="13" applyNumberFormat="1" applyFont="1" applyFill="1" applyBorder="1" applyAlignment="1" applyProtection="1">
      <alignment horizontal="center" vertical="center"/>
    </xf>
    <xf numFmtId="0" fontId="6" fillId="0" borderId="4" xfId="11" applyFont="1" applyFill="1" applyBorder="1" applyAlignment="1" applyProtection="1">
      <alignment wrapText="1"/>
    </xf>
    <xf numFmtId="3" fontId="6" fillId="0" borderId="4" xfId="13" applyNumberFormat="1" applyFont="1" applyFill="1" applyBorder="1" applyAlignment="1" applyProtection="1">
      <alignment horizontal="center" vertical="center"/>
    </xf>
    <xf numFmtId="0" fontId="4" fillId="0" borderId="4" xfId="11" applyFont="1" applyFill="1" applyBorder="1" applyAlignment="1" applyProtection="1">
      <alignment horizontal="left" vertical="center" wrapText="1"/>
    </xf>
    <xf numFmtId="10" fontId="4" fillId="0" borderId="4" xfId="14" applyNumberFormat="1" applyFont="1" applyFill="1" applyBorder="1" applyAlignment="1" applyProtection="1">
      <alignment horizontal="center" vertical="center"/>
    </xf>
    <xf numFmtId="10" fontId="4" fillId="0" borderId="4" xfId="14" applyNumberFormat="1" applyFont="1" applyFill="1" applyBorder="1" applyAlignment="1" applyProtection="1">
      <alignment horizontal="center" vertical="center" wrapText="1"/>
    </xf>
    <xf numFmtId="0" fontId="4" fillId="0" borderId="4" xfId="11" applyFont="1" applyFill="1" applyBorder="1" applyAlignment="1" applyProtection="1">
      <alignment horizontal="center"/>
    </xf>
    <xf numFmtId="0" fontId="6" fillId="0" borderId="4" xfId="11" applyFont="1" applyFill="1" applyBorder="1" applyAlignment="1" applyProtection="1">
      <alignment horizontal="center"/>
    </xf>
    <xf numFmtId="0" fontId="16" fillId="0" borderId="0" xfId="11" applyFont="1" applyAlignment="1" applyProtection="1">
      <alignment horizontal="center"/>
    </xf>
    <xf numFmtId="10" fontId="4" fillId="0" borderId="4" xfId="3" applyNumberFormat="1" applyFont="1" applyFill="1" applyBorder="1" applyAlignment="1" applyProtection="1">
      <alignment horizontal="center" vertical="center" wrapText="1"/>
    </xf>
    <xf numFmtId="0" fontId="6" fillId="3" borderId="4" xfId="11" applyFont="1" applyFill="1" applyBorder="1" applyAlignment="1" applyProtection="1">
      <alignment horizontal="center" vertical="center"/>
    </xf>
    <xf numFmtId="0" fontId="6" fillId="3" borderId="20" xfId="11" applyFont="1" applyFill="1" applyBorder="1" applyAlignment="1" applyProtection="1">
      <alignment horizontal="center" vertical="center"/>
    </xf>
    <xf numFmtId="0" fontId="6" fillId="3" borderId="4" xfId="11" applyFont="1" applyFill="1" applyBorder="1" applyProtection="1"/>
    <xf numFmtId="0" fontId="6" fillId="3" borderId="4" xfId="11" applyFont="1" applyFill="1" applyBorder="1" applyAlignment="1" applyProtection="1">
      <alignment horizontal="center"/>
    </xf>
    <xf numFmtId="0" fontId="6" fillId="3" borderId="4" xfId="11" applyFont="1" applyFill="1" applyBorder="1" applyAlignment="1" applyProtection="1">
      <alignment wrapText="1"/>
    </xf>
    <xf numFmtId="0" fontId="6" fillId="3" borderId="4" xfId="11" applyFont="1" applyFill="1" applyBorder="1" applyAlignment="1" applyProtection="1">
      <alignment horizontal="center" vertical="center" wrapText="1"/>
    </xf>
    <xf numFmtId="3" fontId="6" fillId="3" borderId="4" xfId="13" applyNumberFormat="1" applyFont="1" applyFill="1" applyBorder="1" applyAlignment="1" applyProtection="1">
      <alignment horizontal="center" vertical="center"/>
    </xf>
    <xf numFmtId="12" fontId="4" fillId="0" borderId="4" xfId="14" applyNumberFormat="1" applyFont="1" applyFill="1" applyBorder="1" applyAlignment="1" applyProtection="1">
      <alignment horizontal="center" vertical="center"/>
    </xf>
    <xf numFmtId="0" fontId="19" fillId="3" borderId="4" xfId="11" applyFont="1" applyFill="1" applyBorder="1" applyAlignment="1" applyProtection="1">
      <alignment horizontal="center" vertical="center" wrapText="1"/>
    </xf>
    <xf numFmtId="9" fontId="19" fillId="0" borderId="4" xfId="11" applyNumberFormat="1" applyFont="1" applyFill="1" applyBorder="1" applyAlignment="1" applyProtection="1">
      <alignment horizontal="center" vertical="center" wrapText="1"/>
    </xf>
    <xf numFmtId="0" fontId="19" fillId="0" borderId="4" xfId="11" applyFont="1" applyFill="1" applyBorder="1" applyAlignment="1" applyProtection="1">
      <alignment horizontal="center" vertical="center" wrapText="1"/>
    </xf>
    <xf numFmtId="9" fontId="6" fillId="3" borderId="20" xfId="3" applyFont="1" applyFill="1" applyBorder="1" applyAlignment="1" applyProtection="1">
      <alignment horizontal="center" vertical="center"/>
    </xf>
    <xf numFmtId="0" fontId="6" fillId="0" borderId="20" xfId="11" applyFont="1" applyFill="1" applyBorder="1" applyAlignment="1" applyProtection="1"/>
    <xf numFmtId="3" fontId="4" fillId="0" borderId="0" xfId="0" applyNumberFormat="1" applyFont="1" applyFill="1" applyBorder="1" applyAlignment="1">
      <alignment horizontal="left" vertical="center" wrapText="1"/>
    </xf>
    <xf numFmtId="3" fontId="4" fillId="0" borderId="0" xfId="0" applyNumberFormat="1" applyFont="1" applyFill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 wrapText="1"/>
    </xf>
    <xf numFmtId="3" fontId="6" fillId="0" borderId="0" xfId="7" applyNumberFormat="1" applyFont="1" applyFill="1" applyBorder="1" applyAlignment="1">
      <alignment vertical="center"/>
    </xf>
    <xf numFmtId="3" fontId="4" fillId="0" borderId="0" xfId="7" applyNumberFormat="1" applyFont="1" applyFill="1" applyBorder="1" applyAlignment="1">
      <alignment vertical="center"/>
    </xf>
    <xf numFmtId="0" fontId="15" fillId="0" borderId="27" xfId="0" applyFont="1" applyFill="1" applyBorder="1" applyAlignment="1">
      <alignment horizontal="left" vertical="center"/>
    </xf>
    <xf numFmtId="0" fontId="15" fillId="0" borderId="28" xfId="0" applyFont="1" applyFill="1" applyBorder="1" applyAlignment="1">
      <alignment horizontal="left" vertical="center"/>
    </xf>
    <xf numFmtId="41" fontId="15" fillId="0" borderId="28" xfId="2" applyFont="1" applyFill="1" applyBorder="1" applyAlignment="1">
      <alignment vertical="center"/>
    </xf>
    <xf numFmtId="165" fontId="15" fillId="0" borderId="28" xfId="1" applyNumberFormat="1" applyFont="1" applyFill="1" applyBorder="1" applyAlignment="1">
      <alignment vertical="center"/>
    </xf>
    <xf numFmtId="165" fontId="15" fillId="0" borderId="29" xfId="1" applyNumberFormat="1" applyFont="1" applyFill="1" applyBorder="1" applyAlignment="1">
      <alignment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41" fontId="15" fillId="0" borderId="0" xfId="2" applyFont="1" applyFill="1" applyBorder="1" applyAlignment="1">
      <alignment vertical="center"/>
    </xf>
    <xf numFmtId="165" fontId="15" fillId="0" borderId="0" xfId="1" applyNumberFormat="1" applyFont="1" applyFill="1" applyBorder="1" applyAlignment="1">
      <alignment horizontal="center" vertical="center"/>
    </xf>
    <xf numFmtId="165" fontId="15" fillId="0" borderId="31" xfId="1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1" fontId="15" fillId="0" borderId="1" xfId="2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horizontal="center" vertical="center"/>
    </xf>
    <xf numFmtId="165" fontId="15" fillId="0" borderId="22" xfId="1" applyNumberFormat="1" applyFont="1" applyFill="1" applyBorder="1" applyAlignment="1">
      <alignment horizontal="center" vertical="center"/>
    </xf>
    <xf numFmtId="0" fontId="15" fillId="3" borderId="20" xfId="4" applyFont="1" applyFill="1" applyBorder="1" applyAlignment="1">
      <alignment horizontal="center" vertical="center"/>
    </xf>
    <xf numFmtId="0" fontId="15" fillId="3" borderId="20" xfId="4" applyFont="1" applyFill="1" applyBorder="1" applyAlignment="1">
      <alignment horizontal="left" vertical="center"/>
    </xf>
    <xf numFmtId="41" fontId="15" fillId="3" borderId="20" xfId="2" applyFont="1" applyFill="1" applyBorder="1" applyAlignment="1">
      <alignment horizontal="center" vertical="center"/>
    </xf>
    <xf numFmtId="165" fontId="22" fillId="3" borderId="20" xfId="3" applyNumberFormat="1" applyFont="1" applyFill="1" applyBorder="1" applyAlignment="1">
      <alignment vertical="center"/>
    </xf>
    <xf numFmtId="0" fontId="15" fillId="7" borderId="4" xfId="4" applyFont="1" applyFill="1" applyBorder="1" applyAlignment="1">
      <alignment horizontal="center" vertical="center"/>
    </xf>
    <xf numFmtId="0" fontId="15" fillId="7" borderId="4" xfId="4" applyFont="1" applyFill="1" applyBorder="1" applyAlignment="1">
      <alignment horizontal="left" vertical="center"/>
    </xf>
    <xf numFmtId="41" fontId="15" fillId="7" borderId="4" xfId="2" applyFont="1" applyFill="1" applyBorder="1" applyAlignment="1">
      <alignment horizontal="center" vertical="center"/>
    </xf>
    <xf numFmtId="165" fontId="15" fillId="7" borderId="4" xfId="1" applyNumberFormat="1" applyFont="1" applyFill="1" applyBorder="1" applyAlignment="1">
      <alignment horizontal="center" vertical="center"/>
    </xf>
    <xf numFmtId="0" fontId="15" fillId="7" borderId="4" xfId="1" applyNumberFormat="1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center"/>
    </xf>
    <xf numFmtId="41" fontId="3" fillId="2" borderId="4" xfId="2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right" vertical="center"/>
    </xf>
    <xf numFmtId="41" fontId="15" fillId="3" borderId="4" xfId="2" applyFont="1" applyFill="1" applyBorder="1" applyAlignment="1">
      <alignment horizontal="center" vertical="center"/>
    </xf>
    <xf numFmtId="165" fontId="15" fillId="3" borderId="4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15" fillId="7" borderId="4" xfId="4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/>
    </xf>
    <xf numFmtId="0" fontId="3" fillId="2" borderId="4" xfId="4" applyFont="1" applyFill="1" applyBorder="1" applyAlignment="1">
      <alignment horizontal="left" vertical="center" wrapText="1"/>
    </xf>
    <xf numFmtId="41" fontId="15" fillId="3" borderId="4" xfId="2" applyFont="1" applyFill="1" applyBorder="1" applyAlignment="1">
      <alignment horizontal="center"/>
    </xf>
    <xf numFmtId="165" fontId="15" fillId="3" borderId="4" xfId="1" applyNumberFormat="1" applyFont="1" applyFill="1" applyBorder="1" applyAlignment="1">
      <alignment horizontal="center"/>
    </xf>
    <xf numFmtId="165" fontId="15" fillId="7" borderId="4" xfId="5" applyNumberFormat="1" applyFont="1" applyFill="1" applyBorder="1" applyAlignment="1">
      <alignment horizontal="center" vertical="top"/>
    </xf>
    <xf numFmtId="165" fontId="15" fillId="7" borderId="4" xfId="5" applyNumberFormat="1" applyFont="1" applyFill="1" applyBorder="1" applyAlignment="1">
      <alignment horizontal="left" vertical="top" wrapText="1"/>
    </xf>
    <xf numFmtId="41" fontId="15" fillId="7" borderId="4" xfId="2" applyFont="1" applyFill="1" applyBorder="1" applyAlignment="1">
      <alignment horizontal="center" vertical="top"/>
    </xf>
    <xf numFmtId="165" fontId="15" fillId="7" borderId="4" xfId="1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/>
    </xf>
    <xf numFmtId="0" fontId="3" fillId="0" borderId="4" xfId="4" applyFont="1" applyBorder="1" applyAlignment="1">
      <alignment horizontal="center" vertical="center"/>
    </xf>
    <xf numFmtId="41" fontId="15" fillId="7" borderId="4" xfId="2" applyFont="1" applyFill="1" applyBorder="1" applyAlignment="1">
      <alignment horizontal="center"/>
    </xf>
    <xf numFmtId="165" fontId="15" fillId="7" borderId="4" xfId="1" applyNumberFormat="1" applyFont="1" applyFill="1" applyBorder="1" applyAlignment="1">
      <alignment horizontal="center"/>
    </xf>
    <xf numFmtId="2" fontId="3" fillId="2" borderId="4" xfId="4" applyNumberFormat="1" applyFont="1" applyFill="1" applyBorder="1" applyAlignment="1">
      <alignment horizontal="left" vertical="center"/>
    </xf>
    <xf numFmtId="41" fontId="3" fillId="0" borderId="4" xfId="2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/>
    </xf>
    <xf numFmtId="0" fontId="3" fillId="0" borderId="4" xfId="9" applyFont="1" applyBorder="1" applyAlignment="1">
      <alignment horizontal="left" vertical="center"/>
    </xf>
    <xf numFmtId="165" fontId="21" fillId="2" borderId="4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right"/>
    </xf>
    <xf numFmtId="165" fontId="15" fillId="0" borderId="4" xfId="1" applyNumberFormat="1" applyFont="1" applyFill="1" applyBorder="1" applyAlignment="1"/>
    <xf numFmtId="165" fontId="15" fillId="0" borderId="4" xfId="1" applyNumberFormat="1" applyFont="1" applyFill="1" applyBorder="1" applyAlignment="1">
      <alignment horizontal="center"/>
    </xf>
    <xf numFmtId="9" fontId="15" fillId="0" borderId="4" xfId="2" applyNumberFormat="1" applyFont="1" applyFill="1" applyBorder="1" applyAlignment="1">
      <alignment horizontal="center" vertical="center"/>
    </xf>
    <xf numFmtId="9" fontId="15" fillId="0" borderId="4" xfId="3" applyFont="1" applyFill="1" applyBorder="1" applyAlignment="1">
      <alignment vertical="center"/>
    </xf>
    <xf numFmtId="165" fontId="15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3" fontId="15" fillId="0" borderId="4" xfId="1" applyFont="1" applyFill="1" applyBorder="1" applyAlignment="1">
      <alignment vertical="center"/>
    </xf>
    <xf numFmtId="1" fontId="3" fillId="2" borderId="4" xfId="1" applyNumberFormat="1" applyFont="1" applyFill="1" applyBorder="1" applyAlignment="1">
      <alignment horizontal="center" vertical="center"/>
    </xf>
    <xf numFmtId="1" fontId="15" fillId="3" borderId="4" xfId="1" applyNumberFormat="1" applyFont="1" applyFill="1" applyBorder="1" applyAlignment="1">
      <alignment horizontal="center"/>
    </xf>
    <xf numFmtId="165" fontId="15" fillId="7" borderId="4" xfId="1" applyNumberFormat="1" applyFont="1" applyFill="1" applyBorder="1" applyAlignment="1">
      <alignment vertical="center"/>
    </xf>
    <xf numFmtId="165" fontId="15" fillId="3" borderId="4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center" wrapText="1"/>
    </xf>
    <xf numFmtId="1" fontId="15" fillId="3" borderId="4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15" fillId="3" borderId="4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3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4" fillId="0" borderId="4" xfId="0" applyFont="1" applyBorder="1"/>
    <xf numFmtId="3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wrapText="1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23" fillId="0" borderId="12" xfId="0" applyFont="1" applyBorder="1"/>
    <xf numFmtId="1" fontId="0" fillId="0" borderId="4" xfId="0" applyNumberFormat="1" applyFont="1" applyBorder="1"/>
    <xf numFmtId="1" fontId="23" fillId="0" borderId="4" xfId="0" applyNumberFormat="1" applyFont="1" applyBorder="1"/>
    <xf numFmtId="0" fontId="23" fillId="0" borderId="36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1" fontId="23" fillId="0" borderId="36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 wrapText="1"/>
    </xf>
    <xf numFmtId="3" fontId="3" fillId="0" borderId="0" xfId="7" applyNumberFormat="1" applyFont="1" applyFill="1" applyBorder="1" applyAlignment="1">
      <alignment horizontal="left" vertical="center"/>
    </xf>
    <xf numFmtId="0" fontId="15" fillId="3" borderId="4" xfId="4" applyFont="1" applyFill="1" applyBorder="1" applyAlignment="1">
      <alignment horizontal="left" vertical="center"/>
    </xf>
    <xf numFmtId="165" fontId="15" fillId="3" borderId="4" xfId="5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/>
    <xf numFmtId="165" fontId="6" fillId="2" borderId="6" xfId="1" applyNumberFormat="1" applyFont="1" applyFill="1" applyBorder="1" applyAlignment="1">
      <alignment horizontal="center" vertical="center"/>
    </xf>
    <xf numFmtId="165" fontId="6" fillId="2" borderId="7" xfId="1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 vertical="center"/>
    </xf>
    <xf numFmtId="165" fontId="6" fillId="3" borderId="11" xfId="1" applyNumberFormat="1" applyFont="1" applyFill="1" applyBorder="1" applyAlignment="1">
      <alignment horizontal="center" vertical="center"/>
    </xf>
    <xf numFmtId="165" fontId="15" fillId="0" borderId="3" xfId="3" applyNumberFormat="1" applyFont="1" applyFill="1" applyBorder="1" applyAlignment="1">
      <alignment horizontal="center" vertical="center"/>
    </xf>
    <xf numFmtId="165" fontId="15" fillId="0" borderId="4" xfId="3" applyNumberFormat="1" applyFont="1" applyFill="1" applyBorder="1" applyAlignment="1">
      <alignment horizontal="center" vertical="center"/>
    </xf>
    <xf numFmtId="165" fontId="15" fillId="3" borderId="20" xfId="1" applyNumberFormat="1" applyFont="1" applyFill="1" applyBorder="1" applyAlignment="1">
      <alignment horizontal="center" vertical="center"/>
    </xf>
    <xf numFmtId="165" fontId="6" fillId="4" borderId="15" xfId="1" applyNumberFormat="1" applyFont="1" applyFill="1" applyBorder="1" applyAlignment="1">
      <alignment horizontal="center" vertical="top"/>
    </xf>
    <xf numFmtId="165" fontId="6" fillId="4" borderId="5" xfId="1" applyNumberFormat="1" applyFont="1" applyFill="1" applyBorder="1" applyAlignment="1">
      <alignment horizontal="center" vertical="top"/>
    </xf>
    <xf numFmtId="165" fontId="6" fillId="4" borderId="3" xfId="1" applyNumberFormat="1" applyFont="1" applyFill="1" applyBorder="1" applyAlignment="1">
      <alignment horizontal="center" vertical="top"/>
    </xf>
    <xf numFmtId="43" fontId="6" fillId="2" borderId="19" xfId="1" applyFont="1" applyFill="1" applyBorder="1" applyAlignment="1">
      <alignment horizontal="center" vertical="center"/>
    </xf>
    <xf numFmtId="43" fontId="6" fillId="2" borderId="17" xfId="1" applyFont="1" applyFill="1" applyBorder="1" applyAlignment="1">
      <alignment horizontal="center" vertical="center"/>
    </xf>
    <xf numFmtId="43" fontId="6" fillId="2" borderId="18" xfId="1" applyFont="1" applyFill="1" applyBorder="1" applyAlignment="1">
      <alignment horizontal="center" vertical="center"/>
    </xf>
    <xf numFmtId="165" fontId="9" fillId="5" borderId="15" xfId="1" applyNumberFormat="1" applyFont="1" applyFill="1" applyBorder="1" applyAlignment="1">
      <alignment horizontal="center"/>
    </xf>
    <xf numFmtId="165" fontId="9" fillId="5" borderId="5" xfId="1" applyNumberFormat="1" applyFont="1" applyFill="1" applyBorder="1" applyAlignment="1">
      <alignment horizontal="center"/>
    </xf>
    <xf numFmtId="165" fontId="9" fillId="5" borderId="3" xfId="1" applyNumberFormat="1" applyFont="1" applyFill="1" applyBorder="1" applyAlignment="1">
      <alignment horizontal="center"/>
    </xf>
    <xf numFmtId="0" fontId="15" fillId="7" borderId="4" xfId="4" applyFont="1" applyFill="1" applyBorder="1" applyAlignment="1">
      <alignment horizontal="center" vertical="center"/>
    </xf>
    <xf numFmtId="165" fontId="15" fillId="7" borderId="4" xfId="5" applyNumberFormat="1" applyFont="1" applyFill="1" applyBorder="1" applyAlignment="1">
      <alignment horizontal="center"/>
    </xf>
    <xf numFmtId="165" fontId="15" fillId="0" borderId="4" xfId="5" applyNumberFormat="1" applyFont="1" applyFill="1" applyBorder="1" applyAlignment="1">
      <alignment horizontal="center" vertical="center"/>
    </xf>
    <xf numFmtId="165" fontId="8" fillId="2" borderId="15" xfId="1" applyNumberFormat="1" applyFont="1" applyFill="1" applyBorder="1" applyAlignment="1">
      <alignment horizontal="center"/>
    </xf>
    <xf numFmtId="165" fontId="8" fillId="2" borderId="5" xfId="1" applyNumberFormat="1" applyFont="1" applyFill="1" applyBorder="1" applyAlignment="1">
      <alignment horizontal="center"/>
    </xf>
    <xf numFmtId="165" fontId="8" fillId="2" borderId="3" xfId="1" applyNumberFormat="1" applyFont="1" applyFill="1" applyBorder="1" applyAlignment="1">
      <alignment horizontal="center"/>
    </xf>
    <xf numFmtId="165" fontId="6" fillId="3" borderId="15" xfId="1" applyNumberFormat="1" applyFont="1" applyFill="1" applyBorder="1" applyAlignment="1">
      <alignment horizontal="center"/>
    </xf>
    <xf numFmtId="165" fontId="6" fillId="3" borderId="5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165" fontId="15" fillId="3" borderId="4" xfId="1" applyNumberFormat="1" applyFont="1" applyFill="1" applyBorder="1" applyAlignment="1">
      <alignment horizontal="center"/>
    </xf>
    <xf numFmtId="1" fontId="12" fillId="4" borderId="2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22" xfId="1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/>
    </xf>
    <xf numFmtId="0" fontId="6" fillId="0" borderId="20" xfId="11" applyFont="1" applyFill="1" applyBorder="1" applyAlignment="1" applyProtection="1">
      <alignment horizontal="center"/>
    </xf>
    <xf numFmtId="0" fontId="6" fillId="0" borderId="4" xfId="11" applyFont="1" applyFill="1" applyBorder="1" applyAlignment="1" applyProtection="1">
      <alignment horizontal="center"/>
    </xf>
    <xf numFmtId="0" fontId="6" fillId="7" borderId="4" xfId="11" applyFont="1" applyFill="1" applyBorder="1" applyAlignment="1" applyProtection="1">
      <alignment horizontal="center"/>
    </xf>
  </cellXfs>
  <cellStyles count="18">
    <cellStyle name="Comma" xfId="1" builtinId="3"/>
    <cellStyle name="Comma [0]" xfId="2" builtinId="6"/>
    <cellStyle name="Comma 11 2" xfId="13"/>
    <cellStyle name="Comma 2" xfId="5"/>
    <cellStyle name="Comma 2 3" xfId="10"/>
    <cellStyle name="Comma 2 3 2" xfId="16"/>
    <cellStyle name="Comma 5" xfId="6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3 2" xfId="17"/>
    <cellStyle name="Normal 5" xfId="4"/>
    <cellStyle name="Normal 5 2" xfId="15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173750</xdr:colOff>
      <xdr:row>0</xdr:row>
      <xdr:rowOff>181009</xdr:rowOff>
    </xdr:from>
    <xdr:to>
      <xdr:col>3</xdr:col>
      <xdr:colOff>138546</xdr:colOff>
      <xdr:row>2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0295" y="181009"/>
          <a:ext cx="1200160" cy="442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47625</xdr:rowOff>
    </xdr:from>
    <xdr:to>
      <xdr:col>2</xdr:col>
      <xdr:colOff>419100</xdr:colOff>
      <xdr:row>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238125"/>
          <a:ext cx="828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T51"/>
  <sheetViews>
    <sheetView showGridLines="0" zoomScale="70" zoomScaleNormal="70" workbookViewId="0">
      <pane ySplit="8" topLeftCell="A9" activePane="bottomLeft" state="frozen"/>
      <selection pane="bottomLeft" activeCell="D1" sqref="D1:E1"/>
    </sheetView>
  </sheetViews>
  <sheetFormatPr defaultColWidth="9.140625" defaultRowHeight="12.75" outlineLevelCol="1" x14ac:dyDescent="0.2"/>
  <cols>
    <col min="1" max="1" width="9.140625" style="4"/>
    <col min="2" max="2" width="3.140625" style="4" customWidth="1"/>
    <col min="3" max="3" width="14.5703125" style="1" bestFit="1" customWidth="1"/>
    <col min="4" max="4" width="53.28515625" style="71" customWidth="1"/>
    <col min="5" max="5" width="20.5703125" style="72" customWidth="1"/>
    <col min="6" max="7" width="8.5703125" style="2" bestFit="1" customWidth="1" outlineLevel="1"/>
    <col min="8" max="8" width="7.5703125" style="2" bestFit="1" customWidth="1" outlineLevel="1"/>
    <col min="9" max="9" width="9.42578125" style="2" customWidth="1" outlineLevel="1"/>
    <col min="10" max="10" width="20" style="3" customWidth="1"/>
    <col min="11" max="11" width="19.85546875" style="2" customWidth="1"/>
    <col min="12" max="12" width="40.5703125" style="74" customWidth="1"/>
    <col min="13" max="13" width="9.140625" style="4"/>
    <col min="14" max="14" width="9.140625" style="4" customWidth="1"/>
    <col min="15" max="15" width="6.5703125" style="2" hidden="1" customWidth="1"/>
    <col min="16" max="16" width="8" style="2" hidden="1" customWidth="1"/>
    <col min="17" max="17" width="6.5703125" style="2" hidden="1" customWidth="1"/>
    <col min="18" max="18" width="6.140625" style="2" hidden="1" customWidth="1"/>
    <col min="19" max="19" width="9.5703125" style="3" hidden="1" customWidth="1"/>
    <col min="20" max="20" width="14.5703125" style="2" hidden="1" customWidth="1"/>
    <col min="21" max="16384" width="9.140625" style="4"/>
  </cols>
  <sheetData>
    <row r="1" spans="3:20" ht="18" customHeight="1" x14ac:dyDescent="0.2">
      <c r="D1" s="218"/>
      <c r="E1" s="218"/>
    </row>
    <row r="2" spans="3:20" ht="23.25" customHeight="1" x14ac:dyDescent="0.2">
      <c r="D2" s="218"/>
      <c r="E2" s="218"/>
    </row>
    <row r="3" spans="3:20" ht="19.5" customHeight="1" thickBot="1" x14ac:dyDescent="0.25">
      <c r="D3" s="219"/>
      <c r="E3" s="219"/>
    </row>
    <row r="4" spans="3:20" ht="19.5" customHeight="1" thickBot="1" x14ac:dyDescent="0.25">
      <c r="C4" s="116" t="s">
        <v>25</v>
      </c>
      <c r="D4" s="117" t="s">
        <v>96</v>
      </c>
      <c r="E4" s="118"/>
      <c r="F4" s="119"/>
      <c r="G4" s="119"/>
      <c r="H4" s="119"/>
      <c r="I4" s="119"/>
      <c r="J4" s="119"/>
      <c r="K4" s="120"/>
      <c r="L4" s="226" t="s">
        <v>28</v>
      </c>
      <c r="O4" s="220" t="s">
        <v>18</v>
      </c>
      <c r="P4" s="221"/>
      <c r="Q4" s="221"/>
      <c r="R4" s="221"/>
      <c r="S4" s="221"/>
      <c r="T4" s="222"/>
    </row>
    <row r="5" spans="3:20" ht="18.75" customHeight="1" thickBot="1" x14ac:dyDescent="0.25">
      <c r="C5" s="121" t="s">
        <v>130</v>
      </c>
      <c r="D5" s="122"/>
      <c r="E5" s="123"/>
      <c r="F5" s="124"/>
      <c r="G5" s="124"/>
      <c r="H5" s="124"/>
      <c r="I5" s="124"/>
      <c r="J5" s="124"/>
      <c r="K5" s="125"/>
      <c r="L5" s="226"/>
      <c r="O5" s="5"/>
      <c r="P5" s="6"/>
      <c r="Q5" s="6"/>
      <c r="R5" s="6"/>
      <c r="S5" s="6"/>
      <c r="T5" s="7"/>
    </row>
    <row r="6" spans="3:20" ht="20.25" customHeight="1" thickBot="1" x14ac:dyDescent="0.25">
      <c r="C6" s="126" t="s">
        <v>72</v>
      </c>
      <c r="D6" s="127"/>
      <c r="E6" s="128"/>
      <c r="F6" s="129"/>
      <c r="G6" s="129"/>
      <c r="H6" s="129"/>
      <c r="I6" s="129"/>
      <c r="J6" s="129"/>
      <c r="K6" s="130"/>
      <c r="L6" s="226"/>
      <c r="O6" s="5"/>
      <c r="P6" s="6"/>
      <c r="Q6" s="6"/>
      <c r="R6" s="6"/>
      <c r="S6" s="6"/>
      <c r="T6" s="7"/>
    </row>
    <row r="7" spans="3:20" ht="15" customHeight="1" x14ac:dyDescent="0.2">
      <c r="C7" s="131" t="s">
        <v>29</v>
      </c>
      <c r="D7" s="132"/>
      <c r="E7" s="133" t="s">
        <v>24</v>
      </c>
      <c r="F7" s="228" t="s">
        <v>27</v>
      </c>
      <c r="G7" s="228"/>
      <c r="H7" s="228"/>
      <c r="I7" s="228"/>
      <c r="J7" s="228"/>
      <c r="K7" s="134"/>
      <c r="L7" s="227"/>
      <c r="O7" s="223" t="s">
        <v>17</v>
      </c>
      <c r="P7" s="224"/>
      <c r="Q7" s="224"/>
      <c r="R7" s="224"/>
      <c r="S7" s="225"/>
      <c r="T7" s="8" t="e">
        <f>#REF!</f>
        <v>#REF!</v>
      </c>
    </row>
    <row r="8" spans="3:20" ht="15" customHeight="1" x14ac:dyDescent="0.2">
      <c r="C8" s="135"/>
      <c r="D8" s="136" t="s">
        <v>13</v>
      </c>
      <c r="E8" s="137" t="s">
        <v>1</v>
      </c>
      <c r="F8" s="138" t="s">
        <v>0</v>
      </c>
      <c r="G8" s="138" t="s">
        <v>2</v>
      </c>
      <c r="H8" s="138" t="s">
        <v>3</v>
      </c>
      <c r="I8" s="156" t="s">
        <v>91</v>
      </c>
      <c r="J8" s="139" t="s">
        <v>33</v>
      </c>
      <c r="K8" s="138" t="s">
        <v>6</v>
      </c>
      <c r="L8" s="227"/>
      <c r="O8" s="9" t="s">
        <v>0</v>
      </c>
      <c r="P8" s="10" t="s">
        <v>2</v>
      </c>
      <c r="Q8" s="10" t="s">
        <v>3</v>
      </c>
      <c r="R8" s="10" t="s">
        <v>4</v>
      </c>
      <c r="S8" s="11" t="s">
        <v>5</v>
      </c>
      <c r="T8" s="12" t="e">
        <f>T7/#REF!</f>
        <v>#REF!</v>
      </c>
    </row>
    <row r="9" spans="3:20" s="15" customFormat="1" ht="90" x14ac:dyDescent="0.2">
      <c r="C9" s="140">
        <v>1</v>
      </c>
      <c r="D9" s="141" t="s">
        <v>126</v>
      </c>
      <c r="E9" s="142">
        <v>50000</v>
      </c>
      <c r="F9" s="143">
        <v>1</v>
      </c>
      <c r="G9" s="143"/>
      <c r="H9" s="143"/>
      <c r="I9" s="143"/>
      <c r="J9" s="176">
        <f>SUM(F9:I9)</f>
        <v>1</v>
      </c>
      <c r="K9" s="144">
        <f t="shared" ref="K9" si="0">J9*E9</f>
        <v>50000</v>
      </c>
      <c r="L9" s="208" t="s">
        <v>132</v>
      </c>
      <c r="O9" s="16">
        <v>0</v>
      </c>
      <c r="P9" s="13">
        <v>0</v>
      </c>
      <c r="Q9" s="13">
        <v>0</v>
      </c>
      <c r="R9" s="13">
        <v>0</v>
      </c>
      <c r="S9" s="14">
        <f>SUM(O9:R9)</f>
        <v>0</v>
      </c>
      <c r="T9" s="17">
        <f>S9*E9</f>
        <v>0</v>
      </c>
    </row>
    <row r="10" spans="3:20" ht="15" customHeight="1" x14ac:dyDescent="0.25">
      <c r="C10" s="216" t="s">
        <v>26</v>
      </c>
      <c r="D10" s="216"/>
      <c r="E10" s="145"/>
      <c r="F10" s="146">
        <f t="shared" ref="F10:K10" si="1">SUM(F9:F9)</f>
        <v>1</v>
      </c>
      <c r="G10" s="146">
        <f t="shared" si="1"/>
        <v>0</v>
      </c>
      <c r="H10" s="146">
        <f t="shared" si="1"/>
        <v>0</v>
      </c>
      <c r="I10" s="146">
        <f t="shared" si="1"/>
        <v>0</v>
      </c>
      <c r="J10" s="182">
        <f t="shared" si="1"/>
        <v>1</v>
      </c>
      <c r="K10" s="146">
        <f t="shared" si="1"/>
        <v>50000</v>
      </c>
      <c r="L10" s="147"/>
      <c r="O10" s="9">
        <f t="shared" ref="O10:T10" si="2">SUM(O9:O9)</f>
        <v>0</v>
      </c>
      <c r="P10" s="19">
        <f t="shared" si="2"/>
        <v>0</v>
      </c>
      <c r="Q10" s="19">
        <f t="shared" si="2"/>
        <v>0</v>
      </c>
      <c r="R10" s="19">
        <f t="shared" si="2"/>
        <v>0</v>
      </c>
      <c r="S10" s="20">
        <f t="shared" si="2"/>
        <v>0</v>
      </c>
      <c r="T10" s="21">
        <f t="shared" si="2"/>
        <v>0</v>
      </c>
    </row>
    <row r="11" spans="3:20" ht="15" customHeight="1" x14ac:dyDescent="0.25">
      <c r="C11" s="135"/>
      <c r="D11" s="148" t="s">
        <v>90</v>
      </c>
      <c r="E11" s="137"/>
      <c r="F11" s="138" t="s">
        <v>0</v>
      </c>
      <c r="G11" s="138" t="s">
        <v>2</v>
      </c>
      <c r="H11" s="138" t="s">
        <v>3</v>
      </c>
      <c r="I11" s="156" t="s">
        <v>91</v>
      </c>
      <c r="J11" s="139" t="s">
        <v>33</v>
      </c>
      <c r="K11" s="138" t="s">
        <v>7</v>
      </c>
      <c r="L11" s="149"/>
      <c r="O11" s="22" t="s">
        <v>0</v>
      </c>
      <c r="P11" s="23" t="s">
        <v>2</v>
      </c>
      <c r="Q11" s="23" t="s">
        <v>3</v>
      </c>
      <c r="R11" s="23" t="s">
        <v>4</v>
      </c>
      <c r="S11" s="24" t="s">
        <v>5</v>
      </c>
      <c r="T11" s="25" t="s">
        <v>7</v>
      </c>
    </row>
    <row r="12" spans="3:20" ht="15" customHeight="1" x14ac:dyDescent="0.2">
      <c r="C12" s="140">
        <v>1</v>
      </c>
      <c r="D12" s="150" t="s">
        <v>95</v>
      </c>
      <c r="E12" s="142">
        <f>'Wage Structure'!H36</f>
        <v>23432.12515</v>
      </c>
      <c r="F12" s="143"/>
      <c r="G12" s="143"/>
      <c r="H12" s="143">
        <v>1</v>
      </c>
      <c r="I12" s="143"/>
      <c r="J12" s="176">
        <f t="shared" ref="J12:J14" si="3">SUM(F12:I12)</f>
        <v>1</v>
      </c>
      <c r="K12" s="144">
        <f t="shared" ref="K12:K14" si="4">J12*E12</f>
        <v>23432.12515</v>
      </c>
      <c r="L12" s="210" t="s">
        <v>38</v>
      </c>
      <c r="O12" s="16">
        <v>0</v>
      </c>
      <c r="P12" s="13">
        <v>0</v>
      </c>
      <c r="Q12" s="13">
        <v>0</v>
      </c>
      <c r="R12" s="13">
        <v>0</v>
      </c>
      <c r="S12" s="14">
        <f t="shared" ref="S12" si="5">SUM(O12:R12)</f>
        <v>0</v>
      </c>
      <c r="T12" s="17">
        <f>S12*E12</f>
        <v>0</v>
      </c>
    </row>
    <row r="13" spans="3:20" ht="15" customHeight="1" x14ac:dyDescent="0.2">
      <c r="C13" s="140">
        <v>2</v>
      </c>
      <c r="D13" s="150" t="s">
        <v>106</v>
      </c>
      <c r="E13" s="142">
        <f>'Wage Structure'!I36</f>
        <v>21865.982935</v>
      </c>
      <c r="F13" s="185">
        <v>1</v>
      </c>
      <c r="G13" s="185"/>
      <c r="H13" s="185"/>
      <c r="I13" s="185"/>
      <c r="J13" s="176">
        <f t="shared" si="3"/>
        <v>1</v>
      </c>
      <c r="K13" s="144">
        <f t="shared" si="4"/>
        <v>21865.982935</v>
      </c>
      <c r="L13" s="211"/>
      <c r="O13" s="16"/>
      <c r="P13" s="13"/>
      <c r="Q13" s="13"/>
      <c r="R13" s="13"/>
      <c r="S13" s="14"/>
      <c r="T13" s="17"/>
    </row>
    <row r="14" spans="3:20" ht="15" customHeight="1" x14ac:dyDescent="0.2">
      <c r="C14" s="140">
        <v>3</v>
      </c>
      <c r="D14" s="150" t="s">
        <v>107</v>
      </c>
      <c r="E14" s="142">
        <f>'Wage Structure'!J36</f>
        <v>21865.982935</v>
      </c>
      <c r="F14" s="185">
        <v>1</v>
      </c>
      <c r="G14" s="185"/>
      <c r="H14" s="185"/>
      <c r="I14" s="185"/>
      <c r="J14" s="176">
        <f t="shared" si="3"/>
        <v>1</v>
      </c>
      <c r="K14" s="144">
        <f t="shared" si="4"/>
        <v>21865.982935</v>
      </c>
      <c r="L14" s="212"/>
      <c r="O14" s="16"/>
      <c r="P14" s="13"/>
      <c r="Q14" s="13"/>
      <c r="R14" s="13"/>
      <c r="S14" s="14"/>
      <c r="T14" s="17"/>
    </row>
    <row r="15" spans="3:20" ht="15" customHeight="1" x14ac:dyDescent="0.25">
      <c r="C15" s="216" t="s">
        <v>26</v>
      </c>
      <c r="D15" s="216"/>
      <c r="E15" s="151"/>
      <c r="F15" s="152">
        <f t="shared" ref="F15:J15" si="6">SUM(F12:F12)</f>
        <v>0</v>
      </c>
      <c r="G15" s="152">
        <f t="shared" si="6"/>
        <v>0</v>
      </c>
      <c r="H15" s="179">
        <f t="shared" si="6"/>
        <v>1</v>
      </c>
      <c r="I15" s="152">
        <f t="shared" si="6"/>
        <v>0</v>
      </c>
      <c r="J15" s="177">
        <f t="shared" si="6"/>
        <v>1</v>
      </c>
      <c r="K15" s="152">
        <f>SUM(K12:K14)</f>
        <v>67164.091019999993</v>
      </c>
      <c r="L15" s="147"/>
      <c r="O15" s="29">
        <f t="shared" ref="O15:T15" si="7">SUM(O12:O12)</f>
        <v>0</v>
      </c>
      <c r="P15" s="26">
        <f t="shared" si="7"/>
        <v>0</v>
      </c>
      <c r="Q15" s="27">
        <f t="shared" si="7"/>
        <v>0</v>
      </c>
      <c r="R15" s="26">
        <f t="shared" si="7"/>
        <v>0</v>
      </c>
      <c r="S15" s="28">
        <f t="shared" si="7"/>
        <v>0</v>
      </c>
      <c r="T15" s="30">
        <f t="shared" si="7"/>
        <v>0</v>
      </c>
    </row>
    <row r="16" spans="3:20" ht="15" customHeight="1" x14ac:dyDescent="0.25">
      <c r="C16" s="153"/>
      <c r="D16" s="154" t="s">
        <v>31</v>
      </c>
      <c r="E16" s="155"/>
      <c r="F16" s="156" t="s">
        <v>0</v>
      </c>
      <c r="G16" s="156" t="s">
        <v>2</v>
      </c>
      <c r="H16" s="156" t="s">
        <v>3</v>
      </c>
      <c r="I16" s="156" t="s">
        <v>91</v>
      </c>
      <c r="J16" s="139" t="s">
        <v>33</v>
      </c>
      <c r="K16" s="138" t="s">
        <v>7</v>
      </c>
      <c r="L16" s="149"/>
      <c r="O16" s="31" t="s">
        <v>0</v>
      </c>
      <c r="P16" s="32" t="s">
        <v>2</v>
      </c>
      <c r="Q16" s="32" t="s">
        <v>3</v>
      </c>
      <c r="R16" s="32" t="s">
        <v>4</v>
      </c>
      <c r="S16" s="24" t="s">
        <v>5</v>
      </c>
      <c r="T16" s="25" t="s">
        <v>7</v>
      </c>
    </row>
    <row r="17" spans="3:20" ht="15" customHeight="1" x14ac:dyDescent="0.2">
      <c r="C17" s="140">
        <v>2</v>
      </c>
      <c r="D17" s="150" t="s">
        <v>98</v>
      </c>
      <c r="E17" s="142">
        <f>'Wage Structure'!G36</f>
        <v>16072.124875</v>
      </c>
      <c r="F17" s="180"/>
      <c r="G17" s="180">
        <v>3</v>
      </c>
      <c r="H17" s="180">
        <v>1</v>
      </c>
      <c r="I17" s="180"/>
      <c r="J17" s="176">
        <f t="shared" ref="J17:J18" si="8">SUM(F17:I17)</f>
        <v>4</v>
      </c>
      <c r="K17" s="180">
        <f t="shared" ref="K17:K18" si="9">J17*E17</f>
        <v>64288.499499999998</v>
      </c>
      <c r="L17" s="183" t="s">
        <v>38</v>
      </c>
      <c r="O17" s="16"/>
      <c r="P17" s="13"/>
      <c r="Q17" s="13"/>
      <c r="R17" s="13"/>
      <c r="S17" s="14"/>
      <c r="T17" s="17"/>
    </row>
    <row r="18" spans="3:20" ht="15" customHeight="1" x14ac:dyDescent="0.25">
      <c r="C18" s="140">
        <v>3</v>
      </c>
      <c r="D18" s="150" t="s">
        <v>99</v>
      </c>
      <c r="E18" s="142">
        <v>20000</v>
      </c>
      <c r="F18" s="180">
        <v>1</v>
      </c>
      <c r="G18" s="180"/>
      <c r="H18" s="180"/>
      <c r="I18" s="180"/>
      <c r="J18" s="176">
        <f t="shared" si="8"/>
        <v>1</v>
      </c>
      <c r="K18" s="185">
        <f t="shared" si="9"/>
        <v>20000</v>
      </c>
      <c r="L18" s="157" t="s">
        <v>37</v>
      </c>
      <c r="O18" s="16"/>
      <c r="P18" s="13"/>
      <c r="Q18" s="13"/>
      <c r="R18" s="13"/>
      <c r="S18" s="14"/>
      <c r="T18" s="17"/>
    </row>
    <row r="19" spans="3:20" ht="15" customHeight="1" x14ac:dyDescent="0.25">
      <c r="C19" s="216" t="s">
        <v>26</v>
      </c>
      <c r="D19" s="216"/>
      <c r="E19" s="151"/>
      <c r="F19" s="152">
        <f>F18+F17</f>
        <v>1</v>
      </c>
      <c r="G19" s="184">
        <f t="shared" ref="G19:I19" si="10">G18+G17</f>
        <v>3</v>
      </c>
      <c r="H19" s="184">
        <f t="shared" si="10"/>
        <v>1</v>
      </c>
      <c r="I19" s="184">
        <f t="shared" si="10"/>
        <v>0</v>
      </c>
      <c r="J19" s="184">
        <f>J18+J17</f>
        <v>5</v>
      </c>
      <c r="K19" s="151">
        <f>SUM(K17:K18)</f>
        <v>84288.499500000005</v>
      </c>
      <c r="L19" s="147"/>
      <c r="O19" s="29" t="e">
        <f>SUM(#REF!)</f>
        <v>#REF!</v>
      </c>
      <c r="P19" s="27" t="e">
        <f>SUM(#REF!)</f>
        <v>#REF!</v>
      </c>
      <c r="Q19" s="26" t="e">
        <f>SUM(#REF!)</f>
        <v>#REF!</v>
      </c>
      <c r="R19" s="26" t="e">
        <f>SUM(#REF!)</f>
        <v>#REF!</v>
      </c>
      <c r="S19" s="28" t="e">
        <f>SUM(#REF!)</f>
        <v>#REF!</v>
      </c>
      <c r="T19" s="30" t="e">
        <f>SUM(#REF!)</f>
        <v>#REF!</v>
      </c>
    </row>
    <row r="20" spans="3:20" ht="15" customHeight="1" x14ac:dyDescent="0.25">
      <c r="C20" s="153"/>
      <c r="D20" s="154" t="s">
        <v>30</v>
      </c>
      <c r="E20" s="155"/>
      <c r="F20" s="156" t="s">
        <v>0</v>
      </c>
      <c r="G20" s="156" t="s">
        <v>2</v>
      </c>
      <c r="H20" s="156" t="s">
        <v>3</v>
      </c>
      <c r="I20" s="156" t="s">
        <v>4</v>
      </c>
      <c r="J20" s="139" t="s">
        <v>33</v>
      </c>
      <c r="K20" s="138" t="s">
        <v>7</v>
      </c>
      <c r="L20" s="149"/>
      <c r="O20" s="31" t="s">
        <v>0</v>
      </c>
      <c r="P20" s="32" t="s">
        <v>2</v>
      </c>
      <c r="Q20" s="32" t="s">
        <v>3</v>
      </c>
      <c r="R20" s="32" t="s">
        <v>4</v>
      </c>
      <c r="S20" s="24" t="s">
        <v>5</v>
      </c>
      <c r="T20" s="25" t="s">
        <v>7</v>
      </c>
    </row>
    <row r="21" spans="3:20" ht="15" customHeight="1" x14ac:dyDescent="0.25">
      <c r="C21" s="158">
        <v>1</v>
      </c>
      <c r="D21" s="141" t="s">
        <v>19</v>
      </c>
      <c r="E21" s="142">
        <v>20000</v>
      </c>
      <c r="F21" s="143"/>
      <c r="G21" s="143">
        <v>0</v>
      </c>
      <c r="H21" s="143">
        <v>0</v>
      </c>
      <c r="I21" s="143"/>
      <c r="J21" s="176">
        <f t="shared" ref="J21" si="11">SUM(F21:I21)</f>
        <v>0</v>
      </c>
      <c r="K21" s="143">
        <f t="shared" ref="K21" si="12">J21*E21</f>
        <v>0</v>
      </c>
      <c r="L21" s="157" t="s">
        <v>37</v>
      </c>
      <c r="O21" s="16">
        <v>0</v>
      </c>
      <c r="P21" s="13">
        <v>0</v>
      </c>
      <c r="Q21" s="13">
        <v>0</v>
      </c>
      <c r="R21" s="13">
        <v>0</v>
      </c>
      <c r="S21" s="14">
        <f t="shared" ref="S21" si="13">SUM(O21:R21)</f>
        <v>0</v>
      </c>
      <c r="T21" s="17">
        <f>S21*E21</f>
        <v>0</v>
      </c>
    </row>
    <row r="22" spans="3:20" ht="15" customHeight="1" x14ac:dyDescent="0.25">
      <c r="C22" s="217" t="s">
        <v>26</v>
      </c>
      <c r="D22" s="217"/>
      <c r="E22" s="151"/>
      <c r="F22" s="152">
        <f t="shared" ref="F22:K22" si="14">SUM(F21:F21)</f>
        <v>0</v>
      </c>
      <c r="G22" s="152">
        <f t="shared" si="14"/>
        <v>0</v>
      </c>
      <c r="H22" s="152">
        <f t="shared" si="14"/>
        <v>0</v>
      </c>
      <c r="I22" s="152">
        <f t="shared" si="14"/>
        <v>0</v>
      </c>
      <c r="J22" s="177">
        <f t="shared" si="14"/>
        <v>0</v>
      </c>
      <c r="K22" s="152">
        <f t="shared" si="14"/>
        <v>0</v>
      </c>
      <c r="L22" s="147"/>
      <c r="O22" s="29">
        <f t="shared" ref="O22:T22" si="15">SUM(O21:O21)</f>
        <v>0</v>
      </c>
      <c r="P22" s="27">
        <f t="shared" si="15"/>
        <v>0</v>
      </c>
      <c r="Q22" s="26">
        <f t="shared" si="15"/>
        <v>0</v>
      </c>
      <c r="R22" s="26">
        <f t="shared" si="15"/>
        <v>0</v>
      </c>
      <c r="S22" s="28">
        <f t="shared" si="15"/>
        <v>0</v>
      </c>
      <c r="T22" s="30">
        <f t="shared" si="15"/>
        <v>0</v>
      </c>
    </row>
    <row r="23" spans="3:20" ht="15" customHeight="1" x14ac:dyDescent="0.25">
      <c r="C23" s="153"/>
      <c r="D23" s="154" t="s">
        <v>89</v>
      </c>
      <c r="E23" s="155"/>
      <c r="F23" s="156"/>
      <c r="G23" s="156"/>
      <c r="H23" s="156"/>
      <c r="I23" s="156"/>
      <c r="J23" s="139" t="s">
        <v>33</v>
      </c>
      <c r="K23" s="138" t="s">
        <v>7</v>
      </c>
      <c r="L23" s="149"/>
      <c r="O23" s="229" t="s">
        <v>15</v>
      </c>
      <c r="P23" s="230"/>
      <c r="Q23" s="230"/>
      <c r="R23" s="230"/>
      <c r="S23" s="231"/>
      <c r="T23" s="33" t="s">
        <v>16</v>
      </c>
    </row>
    <row r="24" spans="3:20" ht="33" customHeight="1" x14ac:dyDescent="0.25">
      <c r="C24" s="158">
        <v>1</v>
      </c>
      <c r="D24" s="161" t="s">
        <v>76</v>
      </c>
      <c r="E24" s="162" t="s">
        <v>8</v>
      </c>
      <c r="F24" s="251" t="s">
        <v>14</v>
      </c>
      <c r="G24" s="251"/>
      <c r="H24" s="251"/>
      <c r="I24" s="251"/>
      <c r="J24" s="251"/>
      <c r="K24" s="163"/>
      <c r="L24" s="164" t="s">
        <v>128</v>
      </c>
      <c r="O24" s="241" t="s">
        <v>14</v>
      </c>
      <c r="P24" s="242"/>
      <c r="Q24" s="242"/>
      <c r="R24" s="242"/>
      <c r="S24" s="243"/>
      <c r="T24" s="34">
        <v>0</v>
      </c>
    </row>
    <row r="25" spans="3:20" ht="29.25" customHeight="1" x14ac:dyDescent="0.25">
      <c r="C25" s="158">
        <f t="shared" ref="C25" si="16">C24+1</f>
        <v>2</v>
      </c>
      <c r="D25" s="161" t="s">
        <v>32</v>
      </c>
      <c r="E25" s="162" t="s">
        <v>8</v>
      </c>
      <c r="F25" s="251" t="s">
        <v>14</v>
      </c>
      <c r="G25" s="251"/>
      <c r="H25" s="251"/>
      <c r="I25" s="251"/>
      <c r="J25" s="251"/>
      <c r="K25" s="163"/>
      <c r="L25" s="164" t="s">
        <v>129</v>
      </c>
      <c r="O25" s="241" t="s">
        <v>14</v>
      </c>
      <c r="P25" s="242"/>
      <c r="Q25" s="242"/>
      <c r="R25" s="242"/>
      <c r="S25" s="243"/>
      <c r="T25" s="34">
        <v>0</v>
      </c>
    </row>
    <row r="26" spans="3:20" ht="15" customHeight="1" x14ac:dyDescent="0.25">
      <c r="C26" s="158">
        <v>3</v>
      </c>
      <c r="D26" s="166" t="s">
        <v>20</v>
      </c>
      <c r="E26" s="162">
        <v>4500</v>
      </c>
      <c r="F26" s="167"/>
      <c r="G26" s="167"/>
      <c r="H26" s="167"/>
      <c r="I26" s="167"/>
      <c r="J26" s="163">
        <v>1</v>
      </c>
      <c r="K26" s="163">
        <f>J26*E26</f>
        <v>4500</v>
      </c>
      <c r="L26" s="165" t="s">
        <v>86</v>
      </c>
      <c r="O26" s="35"/>
      <c r="P26" s="36"/>
      <c r="Q26" s="36"/>
      <c r="R26" s="36"/>
      <c r="S26" s="37"/>
      <c r="T26" s="34"/>
    </row>
    <row r="27" spans="3:20" ht="15" customHeight="1" x14ac:dyDescent="0.25">
      <c r="C27" s="158">
        <f t="shared" ref="C27:C31" si="17">+C26+1</f>
        <v>4</v>
      </c>
      <c r="D27" s="166" t="s">
        <v>77</v>
      </c>
      <c r="E27" s="162">
        <v>1500</v>
      </c>
      <c r="F27" s="167"/>
      <c r="G27" s="167"/>
      <c r="H27" s="167"/>
      <c r="I27" s="167"/>
      <c r="J27" s="163">
        <v>1</v>
      </c>
      <c r="K27" s="163">
        <f t="shared" ref="K27:K29" si="18">J27*E27</f>
        <v>1500</v>
      </c>
      <c r="L27" s="165" t="s">
        <v>88</v>
      </c>
      <c r="O27" s="35"/>
      <c r="P27" s="36"/>
      <c r="Q27" s="36"/>
      <c r="R27" s="36"/>
      <c r="S27" s="37"/>
      <c r="T27" s="34"/>
    </row>
    <row r="28" spans="3:20" ht="15" customHeight="1" x14ac:dyDescent="0.25">
      <c r="C28" s="158">
        <f t="shared" si="17"/>
        <v>5</v>
      </c>
      <c r="D28" s="166" t="s">
        <v>21</v>
      </c>
      <c r="E28" s="162">
        <v>4500</v>
      </c>
      <c r="F28" s="167"/>
      <c r="G28" s="167"/>
      <c r="H28" s="167"/>
      <c r="I28" s="167"/>
      <c r="J28" s="163">
        <v>1</v>
      </c>
      <c r="K28" s="163">
        <f t="shared" si="18"/>
        <v>4500</v>
      </c>
      <c r="L28" s="165" t="s">
        <v>87</v>
      </c>
      <c r="O28" s="35"/>
      <c r="P28" s="36"/>
      <c r="Q28" s="36"/>
      <c r="R28" s="36"/>
      <c r="S28" s="37"/>
      <c r="T28" s="34"/>
    </row>
    <row r="29" spans="3:20" ht="15" customHeight="1" x14ac:dyDescent="0.25">
      <c r="C29" s="158">
        <f t="shared" si="17"/>
        <v>6</v>
      </c>
      <c r="D29" s="166" t="s">
        <v>22</v>
      </c>
      <c r="E29" s="162">
        <v>2500</v>
      </c>
      <c r="F29" s="167"/>
      <c r="G29" s="167"/>
      <c r="H29" s="167"/>
      <c r="I29" s="167"/>
      <c r="J29" s="163">
        <v>0</v>
      </c>
      <c r="K29" s="163">
        <f t="shared" si="18"/>
        <v>0</v>
      </c>
      <c r="L29" s="165" t="s">
        <v>86</v>
      </c>
      <c r="O29" s="35"/>
      <c r="P29" s="36"/>
      <c r="Q29" s="36"/>
      <c r="R29" s="36"/>
      <c r="S29" s="37"/>
      <c r="T29" s="34"/>
    </row>
    <row r="30" spans="3:20" ht="30" x14ac:dyDescent="0.25">
      <c r="C30" s="158">
        <f t="shared" si="17"/>
        <v>7</v>
      </c>
      <c r="D30" s="181" t="s">
        <v>93</v>
      </c>
      <c r="E30" s="162">
        <v>10000</v>
      </c>
      <c r="F30" s="167"/>
      <c r="G30" s="167"/>
      <c r="H30" s="167"/>
      <c r="I30" s="167"/>
      <c r="J30" s="167"/>
      <c r="K30" s="168">
        <v>10000</v>
      </c>
      <c r="L30" s="164" t="s">
        <v>94</v>
      </c>
      <c r="O30" s="35"/>
      <c r="P30" s="36"/>
      <c r="Q30" s="36"/>
      <c r="R30" s="36"/>
      <c r="S30" s="37"/>
      <c r="T30" s="34"/>
    </row>
    <row r="31" spans="3:20" ht="30" x14ac:dyDescent="0.25">
      <c r="C31" s="158">
        <f t="shared" si="17"/>
        <v>8</v>
      </c>
      <c r="D31" s="166" t="s">
        <v>92</v>
      </c>
      <c r="E31" s="162"/>
      <c r="F31" s="167"/>
      <c r="G31" s="167"/>
      <c r="H31" s="167"/>
      <c r="I31" s="167"/>
      <c r="J31" s="167"/>
      <c r="K31" s="168" t="s">
        <v>75</v>
      </c>
      <c r="L31" s="164" t="s">
        <v>78</v>
      </c>
      <c r="O31" s="35"/>
      <c r="P31" s="36"/>
      <c r="Q31" s="36"/>
      <c r="R31" s="36"/>
      <c r="S31" s="37"/>
      <c r="T31" s="34"/>
    </row>
    <row r="32" spans="3:20" ht="15" customHeight="1" x14ac:dyDescent="0.25">
      <c r="C32" s="217" t="s">
        <v>26</v>
      </c>
      <c r="D32" s="217"/>
      <c r="E32" s="151"/>
      <c r="F32" s="247"/>
      <c r="G32" s="247"/>
      <c r="H32" s="247"/>
      <c r="I32" s="247"/>
      <c r="J32" s="247"/>
      <c r="K32" s="152">
        <f>SUM(K24:K31)</f>
        <v>20500</v>
      </c>
      <c r="L32" s="147"/>
      <c r="O32" s="244"/>
      <c r="P32" s="245"/>
      <c r="Q32" s="245"/>
      <c r="R32" s="245"/>
      <c r="S32" s="246"/>
      <c r="T32" s="30">
        <f>SUM(T24:T31)</f>
        <v>0</v>
      </c>
    </row>
    <row r="33" spans="3:20" s="38" customFormat="1" ht="15.75" x14ac:dyDescent="0.25">
      <c r="C33" s="239" t="s">
        <v>34</v>
      </c>
      <c r="D33" s="239"/>
      <c r="E33" s="159"/>
      <c r="F33" s="169"/>
      <c r="G33" s="169"/>
      <c r="H33" s="169"/>
      <c r="I33" s="169"/>
      <c r="J33" s="169"/>
      <c r="K33" s="160">
        <f>+K32+K22+K19+K15+K10</f>
        <v>221952.59052</v>
      </c>
      <c r="L33" s="170"/>
      <c r="O33" s="235"/>
      <c r="P33" s="236"/>
      <c r="Q33" s="236"/>
      <c r="R33" s="236"/>
      <c r="S33" s="237"/>
      <c r="T33" s="39" t="e">
        <f>SUM(#REF!)</f>
        <v>#REF!</v>
      </c>
    </row>
    <row r="34" spans="3:20" s="40" customFormat="1" ht="24.75" customHeight="1" x14ac:dyDescent="0.25">
      <c r="C34" s="240" t="s">
        <v>35</v>
      </c>
      <c r="D34" s="240"/>
      <c r="E34" s="171">
        <v>0.08</v>
      </c>
      <c r="F34" s="172"/>
      <c r="G34" s="172"/>
      <c r="H34" s="172"/>
      <c r="I34" s="172"/>
      <c r="J34" s="172"/>
      <c r="K34" s="173">
        <f>+E34*K33</f>
        <v>17756.207241600001</v>
      </c>
      <c r="L34" s="174"/>
      <c r="O34" s="248"/>
      <c r="P34" s="249"/>
      <c r="Q34" s="249"/>
      <c r="R34" s="249"/>
      <c r="S34" s="250"/>
      <c r="T34" s="41" t="e">
        <f>T10+T15+T19+#REF!+T22+#REF!+#REF!+T32+#REF!+T33</f>
        <v>#REF!</v>
      </c>
    </row>
    <row r="35" spans="3:20" s="18" customFormat="1" ht="15" customHeight="1" thickBot="1" x14ac:dyDescent="0.3">
      <c r="C35" s="238" t="s">
        <v>36</v>
      </c>
      <c r="D35" s="238"/>
      <c r="E35" s="137"/>
      <c r="F35" s="175"/>
      <c r="G35" s="175"/>
      <c r="H35" s="175"/>
      <c r="I35" s="175"/>
      <c r="J35" s="175"/>
      <c r="K35" s="178">
        <f>+K34+K33</f>
        <v>239708.7977616</v>
      </c>
      <c r="L35" s="165"/>
      <c r="O35" s="232"/>
      <c r="P35" s="233"/>
      <c r="Q35" s="233"/>
      <c r="R35" s="233"/>
      <c r="S35" s="233"/>
      <c r="T35" s="234"/>
    </row>
    <row r="36" spans="3:20" ht="15.75" hidden="1" customHeight="1" thickBot="1" x14ac:dyDescent="0.25">
      <c r="C36" s="42"/>
      <c r="D36" s="43" t="s">
        <v>9</v>
      </c>
      <c r="E36" s="44"/>
      <c r="F36" s="45"/>
      <c r="G36" s="45"/>
      <c r="H36" s="45"/>
      <c r="I36" s="45"/>
      <c r="J36" s="46"/>
      <c r="K36" s="45"/>
      <c r="L36" s="75"/>
      <c r="O36" s="47"/>
      <c r="P36" s="47"/>
      <c r="Q36" s="47"/>
      <c r="R36" s="47"/>
      <c r="S36" s="48"/>
      <c r="T36" s="47"/>
    </row>
    <row r="37" spans="3:20" s="54" customFormat="1" ht="15" hidden="1" customHeight="1" x14ac:dyDescent="0.2">
      <c r="C37" s="49"/>
      <c r="D37" s="50" t="s">
        <v>10</v>
      </c>
      <c r="E37" s="51"/>
      <c r="F37" s="52" t="e">
        <f>SUM(#REF!+F22+F19+F15+F10)</f>
        <v>#REF!</v>
      </c>
      <c r="G37" s="52" t="e">
        <f>SUM(#REF!+G22+G19+G15+G10)</f>
        <v>#REF!</v>
      </c>
      <c r="H37" s="52" t="e">
        <f>SUM(#REF!+H22+H19+H15+H10)</f>
        <v>#REF!</v>
      </c>
      <c r="I37" s="52" t="e">
        <f>SUM(#REF!+I22+I19+I15+I10)</f>
        <v>#REF!</v>
      </c>
      <c r="J37" s="53" t="e">
        <f>SUM(#REF!+J22+J19+J15+J10)</f>
        <v>#REF!</v>
      </c>
      <c r="K37" s="52" t="e">
        <f>SUM(#REF!+K22+K19+K15+K10)</f>
        <v>#REF!</v>
      </c>
      <c r="L37" s="76"/>
      <c r="O37" s="52" t="e">
        <f>SUM(#REF!+O22+O19+O15+O10)</f>
        <v>#REF!</v>
      </c>
      <c r="P37" s="52" t="e">
        <f>SUM(#REF!+P22+P19+P15+P10)</f>
        <v>#REF!</v>
      </c>
      <c r="Q37" s="52" t="e">
        <f>SUM(#REF!+Q22+Q19+Q15+Q10)</f>
        <v>#REF!</v>
      </c>
      <c r="R37" s="52" t="e">
        <f>SUM(#REF!+R22+R19+R15+R10)</f>
        <v>#REF!</v>
      </c>
      <c r="S37" s="53" t="e">
        <f>SUM(#REF!+S22+S19+S15+S10)</f>
        <v>#REF!</v>
      </c>
      <c r="T37" s="52" t="e">
        <f>SUM(#REF!+T22+T19+T15+T10)</f>
        <v>#REF!</v>
      </c>
    </row>
    <row r="38" spans="3:20" s="54" customFormat="1" ht="15" hidden="1" customHeight="1" x14ac:dyDescent="0.2">
      <c r="C38" s="55"/>
      <c r="D38" s="56" t="s">
        <v>11</v>
      </c>
      <c r="E38" s="57"/>
      <c r="F38" s="58"/>
      <c r="G38" s="58"/>
      <c r="H38" s="58"/>
      <c r="I38" s="58"/>
      <c r="J38" s="59">
        <f>J10</f>
        <v>1</v>
      </c>
      <c r="K38" s="58">
        <f>K10</f>
        <v>50000</v>
      </c>
      <c r="L38" s="76"/>
      <c r="O38" s="58"/>
      <c r="P38" s="58"/>
      <c r="Q38" s="58"/>
      <c r="R38" s="58"/>
      <c r="S38" s="59">
        <f>S10</f>
        <v>0</v>
      </c>
      <c r="T38" s="58">
        <f>T10</f>
        <v>0</v>
      </c>
    </row>
    <row r="39" spans="3:20" ht="15" hidden="1" customHeight="1" x14ac:dyDescent="0.2">
      <c r="C39" s="60"/>
      <c r="D39" s="61" t="s">
        <v>9</v>
      </c>
      <c r="E39" s="62"/>
      <c r="F39" s="63"/>
      <c r="G39" s="63"/>
      <c r="H39" s="63"/>
      <c r="I39" s="63"/>
      <c r="J39" s="64"/>
      <c r="K39" s="63" t="e">
        <f>#REF!</f>
        <v>#REF!</v>
      </c>
      <c r="L39" s="77"/>
      <c r="O39" s="63"/>
      <c r="P39" s="63"/>
      <c r="Q39" s="63"/>
      <c r="R39" s="63"/>
      <c r="S39" s="64"/>
      <c r="T39" s="63" t="e">
        <f>#REF!</f>
        <v>#REF!</v>
      </c>
    </row>
    <row r="40" spans="3:20" ht="15" hidden="1" customHeight="1" x14ac:dyDescent="0.2">
      <c r="C40" s="65"/>
      <c r="D40" s="66" t="s">
        <v>12</v>
      </c>
      <c r="E40" s="67"/>
      <c r="F40" s="68"/>
      <c r="G40" s="68"/>
      <c r="H40" s="68"/>
      <c r="I40" s="68"/>
      <c r="J40" s="69"/>
      <c r="K40" s="70" t="e">
        <f>K39/K37</f>
        <v>#REF!</v>
      </c>
      <c r="L40" s="77"/>
      <c r="O40" s="68"/>
      <c r="P40" s="68"/>
      <c r="Q40" s="68"/>
      <c r="R40" s="68"/>
      <c r="S40" s="69"/>
      <c r="T40" s="70" t="e">
        <f>T39/T37</f>
        <v>#REF!</v>
      </c>
    </row>
    <row r="43" spans="3:20" x14ac:dyDescent="0.2">
      <c r="C43" s="114" t="s">
        <v>79</v>
      </c>
      <c r="D43" s="115"/>
      <c r="E43" s="111"/>
      <c r="F43" s="111"/>
      <c r="G43" s="111"/>
      <c r="H43" s="112"/>
      <c r="K43" s="73"/>
    </row>
    <row r="44" spans="3:20" ht="15" x14ac:dyDescent="0.2">
      <c r="C44" s="215" t="s">
        <v>80</v>
      </c>
      <c r="D44" s="215"/>
      <c r="E44" s="215"/>
      <c r="F44" s="215"/>
      <c r="G44" s="215"/>
      <c r="H44" s="113"/>
    </row>
    <row r="45" spans="3:20" ht="15" x14ac:dyDescent="0.2">
      <c r="C45" s="215" t="s">
        <v>81</v>
      </c>
      <c r="D45" s="215"/>
      <c r="E45" s="215"/>
      <c r="F45" s="215"/>
      <c r="G45" s="215"/>
      <c r="H45" s="215"/>
    </row>
    <row r="46" spans="3:20" ht="15" x14ac:dyDescent="0.2">
      <c r="C46" s="215" t="s">
        <v>97</v>
      </c>
      <c r="D46" s="215"/>
      <c r="E46" s="215"/>
      <c r="F46" s="215"/>
      <c r="G46" s="215"/>
      <c r="H46" s="113"/>
    </row>
    <row r="47" spans="3:20" ht="15" x14ac:dyDescent="0.2">
      <c r="C47" s="213" t="s">
        <v>82</v>
      </c>
      <c r="D47" s="213"/>
      <c r="E47" s="213"/>
      <c r="F47" s="213"/>
      <c r="G47" s="213"/>
      <c r="H47" s="113"/>
    </row>
    <row r="48" spans="3:20" ht="15" x14ac:dyDescent="0.2">
      <c r="C48" s="213" t="s">
        <v>83</v>
      </c>
      <c r="D48" s="213"/>
      <c r="E48" s="213"/>
      <c r="F48" s="213"/>
      <c r="G48" s="213"/>
      <c r="H48" s="113"/>
    </row>
    <row r="49" spans="3:8" ht="31.5" customHeight="1" x14ac:dyDescent="0.2">
      <c r="C49" s="214" t="s">
        <v>84</v>
      </c>
      <c r="D49" s="214"/>
      <c r="E49" s="214"/>
      <c r="F49" s="214"/>
      <c r="G49" s="214"/>
      <c r="H49" s="113"/>
    </row>
    <row r="50" spans="3:8" ht="27.75" customHeight="1" x14ac:dyDescent="0.2">
      <c r="C50" s="214" t="s">
        <v>85</v>
      </c>
      <c r="D50" s="214"/>
      <c r="E50" s="214"/>
      <c r="F50" s="214"/>
      <c r="G50" s="214"/>
    </row>
    <row r="51" spans="3:8" ht="30" customHeight="1" x14ac:dyDescent="0.2">
      <c r="C51" s="209" t="s">
        <v>127</v>
      </c>
      <c r="D51" s="209"/>
      <c r="E51" s="209"/>
      <c r="F51" s="209"/>
      <c r="G51" s="209"/>
    </row>
  </sheetData>
  <mergeCells count="34">
    <mergeCell ref="O23:S23"/>
    <mergeCell ref="O35:T35"/>
    <mergeCell ref="O33:S33"/>
    <mergeCell ref="C35:D35"/>
    <mergeCell ref="C33:D33"/>
    <mergeCell ref="C32:D32"/>
    <mergeCell ref="C34:D34"/>
    <mergeCell ref="O25:S25"/>
    <mergeCell ref="O32:S32"/>
    <mergeCell ref="F32:J32"/>
    <mergeCell ref="O24:S24"/>
    <mergeCell ref="O34:S34"/>
    <mergeCell ref="F24:J24"/>
    <mergeCell ref="F25:J25"/>
    <mergeCell ref="D1:E1"/>
    <mergeCell ref="C10:D10"/>
    <mergeCell ref="D3:E3"/>
    <mergeCell ref="D2:E2"/>
    <mergeCell ref="O4:T4"/>
    <mergeCell ref="O7:S7"/>
    <mergeCell ref="L4:L8"/>
    <mergeCell ref="F7:J7"/>
    <mergeCell ref="C51:G51"/>
    <mergeCell ref="L12:L14"/>
    <mergeCell ref="C47:G47"/>
    <mergeCell ref="C48:G48"/>
    <mergeCell ref="C49:G49"/>
    <mergeCell ref="C50:G50"/>
    <mergeCell ref="C44:G44"/>
    <mergeCell ref="C45:H45"/>
    <mergeCell ref="C46:G46"/>
    <mergeCell ref="C15:D15"/>
    <mergeCell ref="C19:D19"/>
    <mergeCell ref="C22:D22"/>
  </mergeCells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workbookViewId="0">
      <selection activeCell="H15" sqref="H15"/>
    </sheetView>
  </sheetViews>
  <sheetFormatPr defaultRowHeight="15" x14ac:dyDescent="0.25"/>
  <cols>
    <col min="2" max="2" width="6.28515625" bestFit="1" customWidth="1"/>
    <col min="3" max="3" width="34.42578125" bestFit="1" customWidth="1"/>
    <col min="7" max="7" width="21.85546875" bestFit="1" customWidth="1"/>
  </cols>
  <sheetData>
    <row r="2" spans="2:7" x14ac:dyDescent="0.25">
      <c r="B2" s="255"/>
      <c r="C2" s="255"/>
      <c r="D2" s="255"/>
      <c r="E2" s="255"/>
      <c r="F2" s="255"/>
      <c r="G2" s="255"/>
    </row>
    <row r="3" spans="2:7" ht="15.75" thickBot="1" x14ac:dyDescent="0.3">
      <c r="B3" s="256"/>
      <c r="C3" s="256"/>
      <c r="D3" s="256"/>
      <c r="E3" s="256"/>
      <c r="F3" s="256"/>
      <c r="G3" s="256"/>
    </row>
    <row r="4" spans="2:7" x14ac:dyDescent="0.25">
      <c r="B4" s="194" t="s">
        <v>100</v>
      </c>
      <c r="C4" s="195" t="s">
        <v>101</v>
      </c>
      <c r="D4" s="195" t="s">
        <v>102</v>
      </c>
      <c r="E4" s="195" t="s">
        <v>103</v>
      </c>
      <c r="F4" s="195" t="s">
        <v>104</v>
      </c>
      <c r="G4" s="202" t="s">
        <v>119</v>
      </c>
    </row>
    <row r="5" spans="2:7" x14ac:dyDescent="0.25">
      <c r="B5" s="196">
        <v>1</v>
      </c>
      <c r="C5" s="190" t="s">
        <v>105</v>
      </c>
      <c r="D5" s="189">
        <v>1</v>
      </c>
      <c r="E5" s="189">
        <v>50000</v>
      </c>
      <c r="F5" s="189">
        <f t="shared" ref="F5:F11" si="0">E5*D5</f>
        <v>50000</v>
      </c>
      <c r="G5" s="252" t="s">
        <v>123</v>
      </c>
    </row>
    <row r="6" spans="2:7" x14ac:dyDescent="0.25">
      <c r="B6" s="196">
        <v>2</v>
      </c>
      <c r="C6" s="188" t="s">
        <v>106</v>
      </c>
      <c r="D6" s="189">
        <v>1</v>
      </c>
      <c r="E6" s="191">
        <f>'Wage Structure'!I36</f>
        <v>21865.982935</v>
      </c>
      <c r="F6" s="192">
        <f t="shared" si="0"/>
        <v>21865.982935</v>
      </c>
      <c r="G6" s="253"/>
    </row>
    <row r="7" spans="2:7" x14ac:dyDescent="0.25">
      <c r="B7" s="196">
        <v>3</v>
      </c>
      <c r="C7" s="188" t="s">
        <v>107</v>
      </c>
      <c r="D7" s="189">
        <v>1</v>
      </c>
      <c r="E7" s="191">
        <f>'Wage Structure'!J36</f>
        <v>21865.982935</v>
      </c>
      <c r="F7" s="192">
        <f t="shared" si="0"/>
        <v>21865.982935</v>
      </c>
      <c r="G7" s="253"/>
    </row>
    <row r="8" spans="2:7" x14ac:dyDescent="0.25">
      <c r="B8" s="196">
        <v>4</v>
      </c>
      <c r="C8" s="188" t="s">
        <v>108</v>
      </c>
      <c r="D8" s="189">
        <v>1</v>
      </c>
      <c r="E8" s="191">
        <f>'Wage Structure'!H36</f>
        <v>23432.12515</v>
      </c>
      <c r="F8" s="192">
        <f t="shared" si="0"/>
        <v>23432.12515</v>
      </c>
      <c r="G8" s="253"/>
    </row>
    <row r="9" spans="2:7" x14ac:dyDescent="0.25">
      <c r="B9" s="196">
        <v>5</v>
      </c>
      <c r="C9" s="188" t="s">
        <v>109</v>
      </c>
      <c r="D9" s="189">
        <v>4</v>
      </c>
      <c r="E9" s="191">
        <f>'Wage Structure'!G36</f>
        <v>16072.124875</v>
      </c>
      <c r="F9" s="192">
        <f t="shared" si="0"/>
        <v>64288.499499999998</v>
      </c>
      <c r="G9" s="254"/>
    </row>
    <row r="10" spans="2:7" x14ac:dyDescent="0.25">
      <c r="B10" s="196">
        <v>6</v>
      </c>
      <c r="C10" s="188" t="s">
        <v>110</v>
      </c>
      <c r="D10" s="189">
        <v>4</v>
      </c>
      <c r="E10" s="189">
        <v>21000</v>
      </c>
      <c r="F10" s="192">
        <f t="shared" si="0"/>
        <v>84000</v>
      </c>
      <c r="G10" s="252" t="s">
        <v>124</v>
      </c>
    </row>
    <row r="11" spans="2:7" x14ac:dyDescent="0.25">
      <c r="B11" s="196">
        <v>7</v>
      </c>
      <c r="C11" s="188" t="s">
        <v>111</v>
      </c>
      <c r="D11" s="189">
        <v>1</v>
      </c>
      <c r="E11" s="189">
        <v>21000</v>
      </c>
      <c r="F11" s="192">
        <f t="shared" si="0"/>
        <v>21000</v>
      </c>
      <c r="G11" s="254"/>
    </row>
    <row r="12" spans="2:7" ht="30" x14ac:dyDescent="0.25">
      <c r="B12" s="196">
        <v>8</v>
      </c>
      <c r="C12" s="188" t="s">
        <v>118</v>
      </c>
      <c r="D12" s="189">
        <v>1</v>
      </c>
      <c r="E12" s="189">
        <v>12000</v>
      </c>
      <c r="F12" s="192">
        <f>E12*D12</f>
        <v>12000</v>
      </c>
      <c r="G12" s="206" t="s">
        <v>125</v>
      </c>
    </row>
    <row r="13" spans="2:7" ht="30.75" customHeight="1" x14ac:dyDescent="0.25">
      <c r="B13" s="196">
        <v>9</v>
      </c>
      <c r="C13" s="193" t="s">
        <v>112</v>
      </c>
      <c r="D13" s="189">
        <v>1</v>
      </c>
      <c r="E13" s="189"/>
      <c r="F13" s="189"/>
      <c r="G13" s="197"/>
    </row>
    <row r="14" spans="2:7" x14ac:dyDescent="0.25">
      <c r="B14" s="196">
        <v>10</v>
      </c>
      <c r="C14" s="188" t="s">
        <v>113</v>
      </c>
      <c r="D14" s="189">
        <v>4</v>
      </c>
      <c r="E14" s="189"/>
      <c r="F14" s="189">
        <v>15500</v>
      </c>
      <c r="G14" s="197"/>
    </row>
    <row r="15" spans="2:7" x14ac:dyDescent="0.25">
      <c r="B15" s="196">
        <v>11</v>
      </c>
      <c r="C15" s="188" t="s">
        <v>114</v>
      </c>
      <c r="D15" s="189"/>
      <c r="E15" s="189" t="s">
        <v>75</v>
      </c>
      <c r="F15" s="189" t="s">
        <v>75</v>
      </c>
      <c r="G15" s="197"/>
    </row>
    <row r="16" spans="2:7" x14ac:dyDescent="0.25">
      <c r="B16" s="198"/>
      <c r="C16" s="187" t="s">
        <v>120</v>
      </c>
      <c r="D16" s="188"/>
      <c r="E16" s="188"/>
      <c r="F16" s="204">
        <f>SUM(F5:F15)</f>
        <v>313952.59052000003</v>
      </c>
      <c r="G16" s="197"/>
    </row>
    <row r="17" spans="2:7" x14ac:dyDescent="0.25">
      <c r="B17" s="198"/>
      <c r="C17" s="187" t="s">
        <v>121</v>
      </c>
      <c r="D17" s="188"/>
      <c r="E17" s="188"/>
      <c r="F17" s="203">
        <f>F16*9%</f>
        <v>28255.733146800001</v>
      </c>
      <c r="G17" s="197"/>
    </row>
    <row r="18" spans="2:7" ht="15.75" thickBot="1" x14ac:dyDescent="0.3">
      <c r="B18" s="199"/>
      <c r="C18" s="205" t="s">
        <v>122</v>
      </c>
      <c r="D18" s="200"/>
      <c r="E18" s="200"/>
      <c r="F18" s="207">
        <f>F17+F16</f>
        <v>342208.32366680005</v>
      </c>
      <c r="G18" s="201"/>
    </row>
    <row r="19" spans="2:7" x14ac:dyDescent="0.25">
      <c r="B19" s="186"/>
      <c r="C19" s="186"/>
      <c r="D19" s="186"/>
      <c r="E19" s="186"/>
      <c r="F19" s="186"/>
      <c r="G19" s="186"/>
    </row>
    <row r="20" spans="2:7" x14ac:dyDescent="0.25">
      <c r="B20" s="186"/>
      <c r="C20" s="186"/>
      <c r="D20" s="186"/>
      <c r="E20" s="186"/>
      <c r="F20" s="186"/>
      <c r="G20" s="186"/>
    </row>
    <row r="21" spans="2:7" x14ac:dyDescent="0.25">
      <c r="B21" s="186"/>
      <c r="C21" s="186"/>
      <c r="D21" s="186"/>
      <c r="E21" s="186"/>
      <c r="F21" s="186"/>
    </row>
    <row r="22" spans="2:7" x14ac:dyDescent="0.25">
      <c r="B22" s="186"/>
      <c r="C22" s="186"/>
      <c r="D22" s="186"/>
      <c r="E22" s="186"/>
      <c r="F22" s="186"/>
    </row>
    <row r="23" spans="2:7" x14ac:dyDescent="0.25">
      <c r="B23" s="186"/>
      <c r="C23" s="186"/>
      <c r="D23" s="186"/>
      <c r="E23" s="186"/>
      <c r="F23" s="186"/>
    </row>
    <row r="24" spans="2:7" x14ac:dyDescent="0.25">
      <c r="B24" s="186"/>
      <c r="C24" s="186"/>
      <c r="D24" s="186"/>
      <c r="E24" s="186"/>
      <c r="F24" s="186"/>
    </row>
    <row r="25" spans="2:7" x14ac:dyDescent="0.25">
      <c r="B25" s="186"/>
      <c r="C25" s="186"/>
      <c r="D25" s="186"/>
      <c r="E25" s="186"/>
      <c r="F25" s="186"/>
    </row>
    <row r="26" spans="2:7" x14ac:dyDescent="0.25">
      <c r="B26" s="186"/>
      <c r="C26" s="186"/>
      <c r="D26" s="186"/>
      <c r="E26" s="186"/>
      <c r="F26" s="186"/>
    </row>
    <row r="27" spans="2:7" x14ac:dyDescent="0.25">
      <c r="B27" s="186"/>
      <c r="C27" s="186"/>
      <c r="D27" s="186"/>
      <c r="E27" s="186"/>
      <c r="F27" s="186"/>
    </row>
    <row r="28" spans="2:7" x14ac:dyDescent="0.25">
      <c r="B28" s="186"/>
      <c r="C28" s="186"/>
      <c r="D28" s="186"/>
      <c r="E28" s="186"/>
      <c r="F28" s="186"/>
    </row>
    <row r="29" spans="2:7" x14ac:dyDescent="0.25">
      <c r="B29" s="186"/>
      <c r="C29" s="186"/>
      <c r="D29" s="186"/>
      <c r="E29" s="186"/>
      <c r="F29" s="186"/>
    </row>
    <row r="30" spans="2:7" x14ac:dyDescent="0.25">
      <c r="B30" s="186"/>
      <c r="C30" s="186"/>
      <c r="D30" s="186"/>
      <c r="E30" s="186"/>
      <c r="F30" s="186"/>
    </row>
    <row r="31" spans="2:7" x14ac:dyDescent="0.25">
      <c r="B31" s="186"/>
      <c r="C31" s="186"/>
      <c r="D31" s="186"/>
      <c r="E31" s="186"/>
      <c r="F31" s="186"/>
    </row>
    <row r="32" spans="2:7" x14ac:dyDescent="0.25">
      <c r="B32" s="186"/>
      <c r="C32" s="186"/>
      <c r="D32" s="186"/>
      <c r="E32" s="186"/>
      <c r="F32" s="186"/>
    </row>
    <row r="33" spans="2:6" x14ac:dyDescent="0.25">
      <c r="B33" s="186"/>
      <c r="C33" s="186"/>
      <c r="D33" s="186"/>
      <c r="E33" s="186"/>
      <c r="F33" s="186"/>
    </row>
    <row r="34" spans="2:6" x14ac:dyDescent="0.25">
      <c r="B34" s="186"/>
      <c r="C34" s="186"/>
      <c r="D34" s="186"/>
      <c r="E34" s="186"/>
      <c r="F34" s="186"/>
    </row>
    <row r="35" spans="2:6" x14ac:dyDescent="0.25">
      <c r="B35" s="186"/>
      <c r="C35" s="186"/>
      <c r="D35" s="186"/>
      <c r="E35" s="186"/>
      <c r="F35" s="186"/>
    </row>
    <row r="36" spans="2:6" x14ac:dyDescent="0.25">
      <c r="B36" s="186"/>
      <c r="C36" s="186"/>
      <c r="D36" s="186"/>
      <c r="E36" s="186"/>
      <c r="F36" s="186"/>
    </row>
    <row r="37" spans="2:6" x14ac:dyDescent="0.25">
      <c r="B37" s="186"/>
      <c r="C37" s="186"/>
      <c r="D37" s="186"/>
      <c r="E37" s="186"/>
      <c r="F37" s="186"/>
    </row>
    <row r="38" spans="2:6" x14ac:dyDescent="0.25">
      <c r="B38" s="186"/>
      <c r="C38" s="186"/>
      <c r="D38" s="186"/>
      <c r="E38" s="186"/>
      <c r="F38" s="186"/>
    </row>
    <row r="39" spans="2:6" x14ac:dyDescent="0.25">
      <c r="B39" s="186"/>
      <c r="C39" s="186"/>
      <c r="D39" s="186"/>
      <c r="E39" s="186"/>
      <c r="F39" s="186"/>
    </row>
    <row r="40" spans="2:6" x14ac:dyDescent="0.25">
      <c r="B40" s="186"/>
      <c r="C40" s="186"/>
      <c r="D40" s="186"/>
      <c r="E40" s="186"/>
      <c r="F40" s="186"/>
    </row>
    <row r="41" spans="2:6" x14ac:dyDescent="0.25">
      <c r="B41" s="186"/>
      <c r="C41" s="186"/>
      <c r="D41" s="186"/>
      <c r="E41" s="186"/>
      <c r="F41" s="186"/>
    </row>
    <row r="42" spans="2:6" x14ac:dyDescent="0.25">
      <c r="B42" s="186"/>
      <c r="C42" s="186"/>
      <c r="D42" s="186"/>
      <c r="E42" s="186"/>
      <c r="F42" s="186"/>
    </row>
    <row r="43" spans="2:6" x14ac:dyDescent="0.25">
      <c r="B43" s="186"/>
      <c r="C43" s="186"/>
      <c r="D43" s="186"/>
      <c r="E43" s="186"/>
      <c r="F43" s="186"/>
    </row>
    <row r="44" spans="2:6" x14ac:dyDescent="0.25">
      <c r="B44" s="186"/>
      <c r="C44" s="186"/>
      <c r="D44" s="186"/>
      <c r="E44" s="186"/>
      <c r="F44" s="186"/>
    </row>
    <row r="45" spans="2:6" x14ac:dyDescent="0.25">
      <c r="B45" s="186"/>
      <c r="C45" s="186"/>
      <c r="D45" s="186"/>
      <c r="E45" s="186"/>
      <c r="F45" s="186"/>
    </row>
    <row r="46" spans="2:6" x14ac:dyDescent="0.25">
      <c r="B46" s="186"/>
      <c r="C46" s="186"/>
      <c r="D46" s="186"/>
      <c r="E46" s="186"/>
      <c r="F46" s="186"/>
    </row>
  </sheetData>
  <mergeCells count="3">
    <mergeCell ref="G5:G9"/>
    <mergeCell ref="G10:G11"/>
    <mergeCell ref="B2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6"/>
  <sheetViews>
    <sheetView showGridLines="0" tabSelected="1" workbookViewId="0">
      <selection activeCell="N20" sqref="N20"/>
    </sheetView>
  </sheetViews>
  <sheetFormatPr defaultColWidth="9" defaultRowHeight="15" x14ac:dyDescent="0.2"/>
  <cols>
    <col min="1" max="1" width="4.85546875" style="78" customWidth="1"/>
    <col min="2" max="2" width="39.140625" style="78" customWidth="1"/>
    <col min="3" max="3" width="3.42578125" style="96" customWidth="1"/>
    <col min="4" max="4" width="6.7109375" style="78" bestFit="1" customWidth="1"/>
    <col min="5" max="5" width="9.85546875" style="78" customWidth="1"/>
    <col min="6" max="6" width="10.28515625" style="78" customWidth="1"/>
    <col min="7" max="8" width="8" style="78" bestFit="1" customWidth="1"/>
    <col min="9" max="10" width="9.85546875" style="78" bestFit="1" customWidth="1"/>
    <col min="11" max="239" width="9.140625" style="78" customWidth="1"/>
    <col min="240" max="240" width="1.5703125" style="78" customWidth="1"/>
    <col min="241" max="241" width="4.85546875" style="78" customWidth="1"/>
    <col min="242" max="242" width="35" style="78" customWidth="1"/>
    <col min="243" max="243" width="2.140625" style="78" customWidth="1"/>
    <col min="244" max="244" width="6.5703125" style="78" customWidth="1"/>
    <col min="245" max="245" width="7.85546875" style="78" customWidth="1"/>
    <col min="246" max="249" width="7.42578125" style="78" customWidth="1"/>
    <col min="250" max="250" width="7.5703125" style="78" customWidth="1"/>
    <col min="251" max="16384" width="9" style="82"/>
  </cols>
  <sheetData>
    <row r="1" spans="1:11" x14ac:dyDescent="0.2">
      <c r="B1" s="79"/>
      <c r="C1" s="79"/>
      <c r="D1" s="79"/>
      <c r="E1" s="79"/>
      <c r="F1" s="79"/>
      <c r="G1" s="79"/>
      <c r="H1" s="79"/>
    </row>
    <row r="2" spans="1:11" x14ac:dyDescent="0.2">
      <c r="B2" s="259" t="s">
        <v>68</v>
      </c>
      <c r="C2" s="259"/>
      <c r="D2" s="259"/>
      <c r="E2" s="259"/>
      <c r="F2" s="259"/>
      <c r="G2" s="259"/>
      <c r="H2" s="259"/>
    </row>
    <row r="3" spans="1:11" x14ac:dyDescent="0.2">
      <c r="B3" s="110" t="s">
        <v>66</v>
      </c>
      <c r="C3" s="257"/>
      <c r="D3" s="257"/>
      <c r="E3" s="257"/>
      <c r="F3" s="257"/>
      <c r="G3" s="257"/>
      <c r="H3" s="257"/>
    </row>
    <row r="4" spans="1:11" s="78" customFormat="1" ht="12.75" x14ac:dyDescent="0.2">
      <c r="B4" s="83" t="s">
        <v>67</v>
      </c>
      <c r="C4" s="258"/>
      <c r="D4" s="258"/>
      <c r="E4" s="258"/>
      <c r="F4" s="258"/>
      <c r="G4" s="258"/>
      <c r="H4" s="258"/>
    </row>
    <row r="5" spans="1:11" s="78" customFormat="1" ht="12.75" x14ac:dyDescent="0.2">
      <c r="B5" s="83" t="s">
        <v>71</v>
      </c>
      <c r="C5" s="258"/>
      <c r="D5" s="258"/>
      <c r="E5" s="258"/>
      <c r="F5" s="258"/>
      <c r="G5" s="258"/>
      <c r="H5" s="258"/>
    </row>
    <row r="6" spans="1:11" s="78" customFormat="1" ht="12.75" x14ac:dyDescent="0.2">
      <c r="B6" s="99" t="s">
        <v>70</v>
      </c>
      <c r="C6" s="99"/>
      <c r="D6" s="99"/>
      <c r="E6" s="99"/>
      <c r="F6" s="109">
        <v>0.25</v>
      </c>
      <c r="G6" s="109">
        <v>0.05</v>
      </c>
      <c r="H6" s="109">
        <v>0.41</v>
      </c>
      <c r="I6" s="109">
        <v>0.39300000000000002</v>
      </c>
      <c r="J6" s="109">
        <v>0.39300000000000002</v>
      </c>
      <c r="K6" s="109">
        <v>0.32400000000000001</v>
      </c>
    </row>
    <row r="7" spans="1:11" s="78" customFormat="1" ht="23.25" customHeight="1" x14ac:dyDescent="0.2">
      <c r="B7" s="98" t="s">
        <v>39</v>
      </c>
      <c r="C7" s="98" t="s">
        <v>52</v>
      </c>
      <c r="D7" s="98" t="s">
        <v>54</v>
      </c>
      <c r="E7" s="103" t="s">
        <v>53</v>
      </c>
      <c r="F7" s="106" t="s">
        <v>23</v>
      </c>
      <c r="G7" s="106" t="s">
        <v>40</v>
      </c>
      <c r="H7" s="106" t="s">
        <v>73</v>
      </c>
      <c r="I7" s="106" t="s">
        <v>115</v>
      </c>
      <c r="J7" s="106" t="s">
        <v>116</v>
      </c>
      <c r="K7" s="106" t="s">
        <v>133</v>
      </c>
    </row>
    <row r="8" spans="1:11" s="78" customFormat="1" ht="12.75" x14ac:dyDescent="0.2">
      <c r="B8" s="84"/>
      <c r="C8" s="84"/>
      <c r="D8" s="84"/>
      <c r="E8" s="85"/>
      <c r="F8" s="107"/>
      <c r="G8" s="108"/>
      <c r="H8" s="108"/>
      <c r="I8" s="107"/>
      <c r="J8" s="107"/>
      <c r="K8" s="108"/>
    </row>
    <row r="9" spans="1:11" s="78" customFormat="1" ht="12.75" x14ac:dyDescent="0.2">
      <c r="B9" s="86" t="s">
        <v>41</v>
      </c>
      <c r="C9" s="94" t="s">
        <v>42</v>
      </c>
      <c r="D9" s="86"/>
      <c r="E9" s="87"/>
      <c r="F9" s="88">
        <v>10856</v>
      </c>
      <c r="G9" s="88">
        <v>10021</v>
      </c>
      <c r="H9" s="88">
        <v>11632</v>
      </c>
      <c r="I9" s="88">
        <v>10856</v>
      </c>
      <c r="J9" s="88">
        <v>10856</v>
      </c>
      <c r="K9" s="88">
        <v>10021</v>
      </c>
    </row>
    <row r="10" spans="1:11" s="78" customFormat="1" ht="12.75" x14ac:dyDescent="0.2">
      <c r="B10" s="86" t="s">
        <v>43</v>
      </c>
      <c r="C10" s="94" t="s">
        <v>42</v>
      </c>
      <c r="D10" s="86"/>
      <c r="E10" s="87"/>
      <c r="F10" s="88">
        <v>1430</v>
      </c>
      <c r="G10" s="88">
        <v>1430</v>
      </c>
      <c r="H10" s="88">
        <v>1430</v>
      </c>
      <c r="I10" s="88">
        <v>1430</v>
      </c>
      <c r="J10" s="88">
        <v>1430</v>
      </c>
      <c r="K10" s="88">
        <f t="shared" ref="K10" si="0">1430+450</f>
        <v>1880</v>
      </c>
    </row>
    <row r="11" spans="1:11" s="78" customFormat="1" ht="12.75" x14ac:dyDescent="0.2">
      <c r="A11" s="80"/>
      <c r="B11" s="83" t="s">
        <v>69</v>
      </c>
      <c r="C11" s="95"/>
      <c r="D11" s="83"/>
      <c r="E11" s="89"/>
      <c r="F11" s="90">
        <f t="shared" ref="F11:H11" si="1">SUM(F9:F10)</f>
        <v>12286</v>
      </c>
      <c r="G11" s="90">
        <f t="shared" si="1"/>
        <v>11451</v>
      </c>
      <c r="H11" s="90">
        <f t="shared" si="1"/>
        <v>13062</v>
      </c>
      <c r="I11" s="90">
        <f t="shared" ref="I11:K11" si="2">SUM(I9:I10)</f>
        <v>12286</v>
      </c>
      <c r="J11" s="90">
        <f t="shared" si="2"/>
        <v>12286</v>
      </c>
      <c r="K11" s="90">
        <f t="shared" si="2"/>
        <v>11901</v>
      </c>
    </row>
    <row r="12" spans="1:11" s="78" customFormat="1" ht="12.75" x14ac:dyDescent="0.2">
      <c r="A12" s="80"/>
      <c r="B12" s="83"/>
      <c r="C12" s="95"/>
      <c r="D12" s="83"/>
      <c r="E12" s="89"/>
      <c r="F12" s="90"/>
      <c r="G12" s="90"/>
      <c r="H12" s="90"/>
      <c r="I12" s="90"/>
      <c r="J12" s="90"/>
      <c r="K12" s="90"/>
    </row>
    <row r="13" spans="1:11" s="78" customFormat="1" ht="12.75" x14ac:dyDescent="0.2">
      <c r="B13" s="91" t="s">
        <v>45</v>
      </c>
      <c r="C13" s="94" t="s">
        <v>42</v>
      </c>
      <c r="D13" s="86"/>
      <c r="E13" s="87"/>
      <c r="F13" s="88">
        <f>F11*F6</f>
        <v>3071.5</v>
      </c>
      <c r="G13" s="88">
        <f t="shared" ref="G13:H13" si="3">G11*G6</f>
        <v>572.55000000000007</v>
      </c>
      <c r="H13" s="88">
        <f t="shared" si="3"/>
        <v>5355.42</v>
      </c>
      <c r="I13" s="88">
        <f>I11*I6</f>
        <v>4828.3980000000001</v>
      </c>
      <c r="J13" s="88">
        <f>J11*J6</f>
        <v>4828.3980000000001</v>
      </c>
      <c r="K13" s="88">
        <f t="shared" ref="K13" si="4">K11*K6</f>
        <v>3855.924</v>
      </c>
    </row>
    <row r="14" spans="1:11" s="78" customFormat="1" ht="12.75" x14ac:dyDescent="0.2">
      <c r="B14" s="91" t="s">
        <v>49</v>
      </c>
      <c r="C14" s="94" t="s">
        <v>44</v>
      </c>
      <c r="D14" s="86"/>
      <c r="E14" s="87"/>
      <c r="F14" s="88"/>
      <c r="G14" s="88"/>
      <c r="H14" s="88"/>
      <c r="I14" s="88"/>
      <c r="J14" s="88"/>
      <c r="K14" s="88"/>
    </row>
    <row r="15" spans="1:11" s="78" customFormat="1" ht="12.75" x14ac:dyDescent="0.2">
      <c r="B15" s="91" t="s">
        <v>50</v>
      </c>
      <c r="C15" s="94" t="s">
        <v>44</v>
      </c>
      <c r="D15" s="86"/>
      <c r="E15" s="87"/>
      <c r="F15" s="88"/>
      <c r="G15" s="88"/>
      <c r="H15" s="88"/>
      <c r="I15" s="88"/>
      <c r="J15" s="88"/>
      <c r="K15" s="88"/>
    </row>
    <row r="16" spans="1:11" s="78" customFormat="1" ht="12.75" x14ac:dyDescent="0.2">
      <c r="B16" s="91"/>
      <c r="C16" s="94"/>
      <c r="D16" s="86"/>
      <c r="E16" s="87"/>
      <c r="F16" s="88"/>
      <c r="G16" s="88"/>
      <c r="H16" s="88"/>
      <c r="I16" s="88"/>
      <c r="J16" s="88"/>
      <c r="K16" s="88"/>
    </row>
    <row r="17" spans="2:11" s="78" customFormat="1" ht="12.75" x14ac:dyDescent="0.2">
      <c r="B17" s="83" t="s">
        <v>51</v>
      </c>
      <c r="C17" s="95"/>
      <c r="D17" s="83"/>
      <c r="E17" s="89"/>
      <c r="F17" s="90">
        <f t="shared" ref="F17" si="5">SUM(F11:F16)</f>
        <v>15357.5</v>
      </c>
      <c r="G17" s="90">
        <f t="shared" ref="G17" si="6">SUM(G11:G16)</f>
        <v>12023.55</v>
      </c>
      <c r="H17" s="90">
        <f t="shared" ref="H17:K17" si="7">SUM(H11:H16)</f>
        <v>18417.419999999998</v>
      </c>
      <c r="I17" s="90">
        <f t="shared" si="7"/>
        <v>17114.398000000001</v>
      </c>
      <c r="J17" s="90">
        <f t="shared" si="7"/>
        <v>17114.398000000001</v>
      </c>
      <c r="K17" s="90">
        <f t="shared" si="7"/>
        <v>15756.923999999999</v>
      </c>
    </row>
    <row r="18" spans="2:11" s="78" customFormat="1" ht="12.75" x14ac:dyDescent="0.2">
      <c r="B18" s="83"/>
      <c r="C18" s="95"/>
      <c r="D18" s="83"/>
      <c r="E18" s="89"/>
      <c r="F18" s="90"/>
      <c r="G18" s="90"/>
      <c r="H18" s="90"/>
      <c r="I18" s="90"/>
      <c r="J18" s="90"/>
      <c r="K18" s="90"/>
    </row>
    <row r="19" spans="2:11" s="78" customFormat="1" ht="12.75" x14ac:dyDescent="0.2">
      <c r="B19" s="86" t="s">
        <v>56</v>
      </c>
      <c r="C19" s="95"/>
      <c r="D19" s="83"/>
      <c r="E19" s="89"/>
      <c r="F19" s="88">
        <f>IF(F17&gt;10000,200,IF(F17&gt;7500,175,0))</f>
        <v>200</v>
      </c>
      <c r="G19" s="88">
        <f t="shared" ref="G19:H19" si="8">IF(G17&gt;10000,200,IF(G17&gt;7500,175,0))</f>
        <v>200</v>
      </c>
      <c r="H19" s="88">
        <f t="shared" si="8"/>
        <v>200</v>
      </c>
      <c r="I19" s="88">
        <f>IF(I17&gt;10000,200,IF(I17&gt;7500,175,0))</f>
        <v>200</v>
      </c>
      <c r="J19" s="88">
        <f>IF(J17&gt;10000,200,IF(J17&gt;7500,175,0))</f>
        <v>200</v>
      </c>
      <c r="K19" s="88">
        <f t="shared" ref="K19" si="9">IF(K17&gt;10000,200,IF(K17&gt;7500,175,0))</f>
        <v>200</v>
      </c>
    </row>
    <row r="20" spans="2:11" s="78" customFormat="1" ht="12.75" x14ac:dyDescent="0.2">
      <c r="B20" s="86" t="s">
        <v>57</v>
      </c>
      <c r="C20" s="94" t="s">
        <v>42</v>
      </c>
      <c r="D20" s="92">
        <v>7.4999999999999997E-3</v>
      </c>
      <c r="E20" s="93" t="s">
        <v>46</v>
      </c>
      <c r="F20" s="88">
        <f t="shared" ref="F20:H20" si="10">IF(F17&gt;21000,0,IF(F17&lt;21000,F17*$D$20,0))</f>
        <v>115.18124999999999</v>
      </c>
      <c r="G20" s="88">
        <f t="shared" si="10"/>
        <v>90.176624999999987</v>
      </c>
      <c r="H20" s="88">
        <f t="shared" si="10"/>
        <v>138.13064999999997</v>
      </c>
      <c r="I20" s="88">
        <f t="shared" ref="I20:K20" si="11">IF(I17&gt;21000,0,IF(I17&lt;21000,I17*$D$20,0))</f>
        <v>128.35798500000001</v>
      </c>
      <c r="J20" s="88">
        <f t="shared" si="11"/>
        <v>128.35798500000001</v>
      </c>
      <c r="K20" s="88">
        <f t="shared" si="11"/>
        <v>118.17692999999998</v>
      </c>
    </row>
    <row r="21" spans="2:11" s="78" customFormat="1" ht="12.75" x14ac:dyDescent="0.2">
      <c r="B21" s="86" t="s">
        <v>58</v>
      </c>
      <c r="C21" s="94" t="s">
        <v>42</v>
      </c>
      <c r="D21" s="92">
        <v>0.12</v>
      </c>
      <c r="E21" s="93" t="s">
        <v>47</v>
      </c>
      <c r="F21" s="88">
        <f t="shared" ref="F21:H21" si="12">IF(F17-F13&gt;=15000,15000*$D$21,IF(F17-F13&lt;15000,(F17-F13)*$D$21,0))</f>
        <v>1474.32</v>
      </c>
      <c r="G21" s="88">
        <f t="shared" si="12"/>
        <v>1374.12</v>
      </c>
      <c r="H21" s="88">
        <f t="shared" si="12"/>
        <v>1567.4399999999998</v>
      </c>
      <c r="I21" s="88">
        <f t="shared" ref="I21:K21" si="13">IF(I17-I13&gt;=15000,15000*$D$21,IF(I17-I13&lt;15000,(I17-I13)*$D$21,0))</f>
        <v>1474.32</v>
      </c>
      <c r="J21" s="88">
        <f t="shared" si="13"/>
        <v>1474.32</v>
      </c>
      <c r="K21" s="88">
        <f t="shared" si="13"/>
        <v>1428.12</v>
      </c>
    </row>
    <row r="22" spans="2:11" s="78" customFormat="1" ht="11.25" x14ac:dyDescent="0.2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 s="78" customFormat="1" ht="12.75" x14ac:dyDescent="0.2">
      <c r="B23" s="83" t="s">
        <v>55</v>
      </c>
      <c r="C23" s="95"/>
      <c r="D23" s="84"/>
      <c r="E23" s="85"/>
      <c r="F23" s="90">
        <f>+F17-SUM(F19:F22)</f>
        <v>13567.998750000001</v>
      </c>
      <c r="G23" s="90">
        <f t="shared" ref="G23" si="14">+G17-SUM(G19:G22)</f>
        <v>10359.253375</v>
      </c>
      <c r="H23" s="90">
        <f>+H17-SUM(H19:H22)</f>
        <v>16511.849349999997</v>
      </c>
      <c r="I23" s="90">
        <f>+I17-SUM(I19:I22)</f>
        <v>15311.720015000001</v>
      </c>
      <c r="J23" s="90">
        <f>+J17-SUM(J19:J22)</f>
        <v>15311.720015000001</v>
      </c>
      <c r="K23" s="90">
        <f t="shared" ref="K23" si="15">+K17-SUM(K19:K22)</f>
        <v>14010.627069999999</v>
      </c>
    </row>
    <row r="24" spans="2:11" s="78" customFormat="1" ht="12.75" x14ac:dyDescent="0.2">
      <c r="B24" s="83"/>
      <c r="C24" s="95"/>
      <c r="D24" s="84"/>
      <c r="E24" s="85"/>
      <c r="F24" s="90"/>
      <c r="G24" s="90"/>
      <c r="H24" s="90"/>
      <c r="I24" s="90"/>
      <c r="J24" s="90"/>
      <c r="K24" s="90"/>
    </row>
    <row r="25" spans="2:11" s="78" customFormat="1" ht="12.75" x14ac:dyDescent="0.2">
      <c r="B25" s="86" t="s">
        <v>57</v>
      </c>
      <c r="C25" s="94" t="s">
        <v>42</v>
      </c>
      <c r="D25" s="92">
        <v>3.2500000000000001E-2</v>
      </c>
      <c r="E25" s="93" t="s">
        <v>46</v>
      </c>
      <c r="F25" s="88">
        <f t="shared" ref="F25:H25" si="16">IF(F17&gt;21000,0,IF(F17&lt;21000,F17*$D$25,0))</f>
        <v>499.11875000000003</v>
      </c>
      <c r="G25" s="88">
        <f t="shared" si="16"/>
        <v>390.76537500000001</v>
      </c>
      <c r="H25" s="88">
        <f t="shared" si="16"/>
        <v>598.56614999999999</v>
      </c>
      <c r="I25" s="88">
        <f t="shared" ref="I25:K25" si="17">IF(I17&gt;21000,0,IF(I17&lt;21000,I17*$D$25,0))</f>
        <v>556.21793500000001</v>
      </c>
      <c r="J25" s="88">
        <f t="shared" si="17"/>
        <v>556.21793500000001</v>
      </c>
      <c r="K25" s="88">
        <f t="shared" si="17"/>
        <v>512.10002999999995</v>
      </c>
    </row>
    <row r="26" spans="2:11" s="78" customFormat="1" ht="12.75" x14ac:dyDescent="0.2">
      <c r="B26" s="86" t="s">
        <v>58</v>
      </c>
      <c r="C26" s="94" t="s">
        <v>42</v>
      </c>
      <c r="D26" s="92">
        <v>0.13</v>
      </c>
      <c r="E26" s="93" t="s">
        <v>47</v>
      </c>
      <c r="F26" s="88">
        <f t="shared" ref="F26:H26" si="18">IF(F17-F13&gt;=15000,15000*$D$26,IF(F17-F13&lt;15000,(F17-F13)*$D$26,0))</f>
        <v>1597.18</v>
      </c>
      <c r="G26" s="88">
        <f t="shared" si="18"/>
        <v>1488.63</v>
      </c>
      <c r="H26" s="88">
        <f t="shared" si="18"/>
        <v>1698.0599999999997</v>
      </c>
      <c r="I26" s="88">
        <f t="shared" ref="I26:K26" si="19">IF(I17-I13&gt;=15000,15000*$D$26,IF(I17-I13&lt;15000,(I17-I13)*$D$26,0))</f>
        <v>1597.18</v>
      </c>
      <c r="J26" s="88">
        <f t="shared" si="19"/>
        <v>1597.18</v>
      </c>
      <c r="K26" s="88">
        <f t="shared" si="19"/>
        <v>1547.13</v>
      </c>
    </row>
    <row r="27" spans="2:11" s="78" customFormat="1" ht="12.75" x14ac:dyDescent="0.2">
      <c r="B27" s="86" t="s">
        <v>59</v>
      </c>
      <c r="C27" s="94" t="s">
        <v>42</v>
      </c>
      <c r="D27" s="92">
        <v>8.3299999999999999E-2</v>
      </c>
      <c r="E27" s="93" t="s">
        <v>47</v>
      </c>
      <c r="F27" s="88">
        <f t="shared" ref="F27:H27" si="20">F11*$D$27</f>
        <v>1023.4238</v>
      </c>
      <c r="G27" s="88">
        <f t="shared" si="20"/>
        <v>953.86829999999998</v>
      </c>
      <c r="H27" s="88">
        <f t="shared" si="20"/>
        <v>1088.0645999999999</v>
      </c>
      <c r="I27" s="88">
        <f t="shared" ref="I27:K27" si="21">I11*$D$27</f>
        <v>1023.4238</v>
      </c>
      <c r="J27" s="88">
        <f t="shared" si="21"/>
        <v>1023.4238</v>
      </c>
      <c r="K27" s="88">
        <f t="shared" si="21"/>
        <v>991.35329999999999</v>
      </c>
    </row>
    <row r="28" spans="2:11" s="78" customFormat="1" ht="12.75" x14ac:dyDescent="0.2">
      <c r="B28" s="91" t="s">
        <v>48</v>
      </c>
      <c r="C28" s="94" t="s">
        <v>42</v>
      </c>
      <c r="D28" s="92">
        <v>7.1199999999999999E-2</v>
      </c>
      <c r="E28" s="93" t="s">
        <v>47</v>
      </c>
      <c r="F28" s="88">
        <f>F11*D28</f>
        <v>874.76319999999998</v>
      </c>
      <c r="G28" s="88">
        <f>G11*D28</f>
        <v>815.31119999999999</v>
      </c>
      <c r="H28" s="88">
        <f>H11*D28</f>
        <v>930.01440000000002</v>
      </c>
      <c r="I28" s="88">
        <f>I11*D28</f>
        <v>874.76319999999998</v>
      </c>
      <c r="J28" s="88">
        <f>J11*D28</f>
        <v>874.76319999999998</v>
      </c>
      <c r="K28" s="88">
        <f>K11*6.73%</f>
        <v>800.93729999999994</v>
      </c>
    </row>
    <row r="29" spans="2:11" s="78" customFormat="1" ht="12.75" x14ac:dyDescent="0.2">
      <c r="B29" s="91" t="s">
        <v>60</v>
      </c>
      <c r="C29" s="94" t="s">
        <v>42</v>
      </c>
      <c r="D29" s="97">
        <v>2.5600000000000001E-2</v>
      </c>
      <c r="E29" s="92" t="s">
        <v>46</v>
      </c>
      <c r="F29" s="88" t="s">
        <v>75</v>
      </c>
      <c r="G29" s="88" t="s">
        <v>75</v>
      </c>
      <c r="H29" s="88" t="s">
        <v>75</v>
      </c>
      <c r="I29" s="88" t="s">
        <v>75</v>
      </c>
      <c r="J29" s="88" t="s">
        <v>75</v>
      </c>
      <c r="K29" s="88" t="s">
        <v>75</v>
      </c>
    </row>
    <row r="30" spans="2:11" s="78" customFormat="1" ht="12.75" x14ac:dyDescent="0.2">
      <c r="B30" s="87" t="s">
        <v>61</v>
      </c>
      <c r="C30" s="94" t="s">
        <v>44</v>
      </c>
      <c r="D30" s="92"/>
      <c r="E30" s="93"/>
      <c r="F30" s="88">
        <v>300</v>
      </c>
      <c r="G30" s="88">
        <v>300</v>
      </c>
      <c r="H30" s="88">
        <v>300</v>
      </c>
      <c r="I30" s="88">
        <v>300</v>
      </c>
      <c r="J30" s="88">
        <v>300</v>
      </c>
      <c r="K30" s="88">
        <v>300</v>
      </c>
    </row>
    <row r="31" spans="2:11" s="78" customFormat="1" ht="12.75" x14ac:dyDescent="0.2">
      <c r="B31" s="87" t="s">
        <v>62</v>
      </c>
      <c r="C31" s="94" t="s">
        <v>44</v>
      </c>
      <c r="D31" s="92"/>
      <c r="E31" s="93"/>
      <c r="F31" s="88">
        <v>100</v>
      </c>
      <c r="G31" s="88">
        <v>100</v>
      </c>
      <c r="H31" s="88">
        <v>100</v>
      </c>
      <c r="I31" s="88">
        <v>100</v>
      </c>
      <c r="J31" s="88">
        <v>100</v>
      </c>
      <c r="K31" s="88">
        <v>100</v>
      </c>
    </row>
    <row r="32" spans="2:11" s="78" customFormat="1" ht="12.75" x14ac:dyDescent="0.2">
      <c r="B32" s="87" t="s">
        <v>74</v>
      </c>
      <c r="C32" s="94" t="s">
        <v>44</v>
      </c>
      <c r="D32" s="92">
        <v>4.8099999999999997E-2</v>
      </c>
      <c r="E32" s="93" t="s">
        <v>47</v>
      </c>
      <c r="F32" s="88" t="s">
        <v>75</v>
      </c>
      <c r="G32" s="88" t="s">
        <v>131</v>
      </c>
      <c r="H32" s="88" t="s">
        <v>75</v>
      </c>
      <c r="I32" s="88" t="s">
        <v>131</v>
      </c>
      <c r="J32" s="88" t="s">
        <v>75</v>
      </c>
      <c r="K32" s="88" t="s">
        <v>131</v>
      </c>
    </row>
    <row r="33" spans="2:11" s="78" customFormat="1" ht="12.75" x14ac:dyDescent="0.2">
      <c r="B33" s="87" t="s">
        <v>117</v>
      </c>
      <c r="C33" s="94"/>
      <c r="D33" s="92"/>
      <c r="E33" s="93"/>
      <c r="F33" s="88"/>
      <c r="G33" s="88"/>
      <c r="H33" s="88">
        <v>300</v>
      </c>
      <c r="I33" s="88">
        <v>300</v>
      </c>
      <c r="J33" s="88">
        <v>300</v>
      </c>
      <c r="K33" s="88"/>
    </row>
    <row r="34" spans="2:11" s="78" customFormat="1" ht="12.75" x14ac:dyDescent="0.2">
      <c r="B34" s="100" t="s">
        <v>65</v>
      </c>
      <c r="C34" s="101"/>
      <c r="D34" s="98"/>
      <c r="E34" s="103"/>
      <c r="F34" s="104">
        <f t="shared" ref="F34:H34" si="22">SUM(F25:F33)</f>
        <v>4394.4857499999998</v>
      </c>
      <c r="G34" s="104">
        <f t="shared" si="22"/>
        <v>4048.5748750000002</v>
      </c>
      <c r="H34" s="104">
        <f t="shared" si="22"/>
        <v>5014.7051499999998</v>
      </c>
      <c r="I34" s="104">
        <f t="shared" ref="I34:J34" si="23">SUM(I25:I33)</f>
        <v>4751.5849349999999</v>
      </c>
      <c r="J34" s="104">
        <f t="shared" si="23"/>
        <v>4751.5849349999999</v>
      </c>
      <c r="K34" s="104">
        <f t="shared" ref="K34" si="24">SUM(K25:K33)</f>
        <v>4251.5206300000009</v>
      </c>
    </row>
    <row r="35" spans="2:11" s="78" customFormat="1" ht="12.75" x14ac:dyDescent="0.2">
      <c r="B35" s="86" t="s">
        <v>63</v>
      </c>
      <c r="C35" s="94"/>
      <c r="D35" s="105">
        <v>0.16666666666666666</v>
      </c>
      <c r="E35" s="93"/>
      <c r="F35" s="88">
        <f>F34*$D$35*0</f>
        <v>0</v>
      </c>
      <c r="G35" s="88">
        <f t="shared" ref="G35:H35" si="25">G34*$D$35*0</f>
        <v>0</v>
      </c>
      <c r="H35" s="88">
        <f t="shared" si="25"/>
        <v>0</v>
      </c>
      <c r="I35" s="88">
        <f>I34*$D$35*0</f>
        <v>0</v>
      </c>
      <c r="J35" s="88">
        <f>J34*$D$35*0</f>
        <v>0</v>
      </c>
      <c r="K35" s="88">
        <f t="shared" ref="K35" si="26">K34*$D$35*0</f>
        <v>0</v>
      </c>
    </row>
    <row r="36" spans="2:11" s="78" customFormat="1" ht="12.75" x14ac:dyDescent="0.2">
      <c r="B36" s="100" t="s">
        <v>64</v>
      </c>
      <c r="C36" s="101"/>
      <c r="D36" s="100"/>
      <c r="E36" s="102"/>
      <c r="F36" s="104">
        <f>F17+F34+F35</f>
        <v>19751.98575</v>
      </c>
      <c r="G36" s="104">
        <f t="shared" ref="G36:H36" si="27">G17+G34+G35</f>
        <v>16072.124875</v>
      </c>
      <c r="H36" s="104">
        <f t="shared" si="27"/>
        <v>23432.12515</v>
      </c>
      <c r="I36" s="104">
        <f>I17+I34+I35</f>
        <v>21865.982935</v>
      </c>
      <c r="J36" s="104">
        <f>J17+J34+J35</f>
        <v>21865.982935</v>
      </c>
      <c r="K36" s="104">
        <f t="shared" ref="K36" si="28">K17+K34+K35</f>
        <v>20008.444629999998</v>
      </c>
    </row>
  </sheetData>
  <mergeCells count="2">
    <mergeCell ref="C3:H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Sheet1</vt:lpstr>
      <vt:lpstr>Wage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SILA</cp:lastModifiedBy>
  <cp:lastPrinted>2021-08-03T11:03:56Z</cp:lastPrinted>
  <dcterms:created xsi:type="dcterms:W3CDTF">2020-01-31T10:05:12Z</dcterms:created>
  <dcterms:modified xsi:type="dcterms:W3CDTF">2021-10-01T05:50:37Z</dcterms:modified>
</cp:coreProperties>
</file>