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la sites\Goldman Sachs JLL\"/>
    </mc:Choice>
  </mc:AlternateContent>
  <bookViews>
    <workbookView xWindow="0" yWindow="0" windowWidth="23040" windowHeight="8904" activeTab="2"/>
  </bookViews>
  <sheets>
    <sheet name="Summary 2021" sheetId="4" r:id="rId1"/>
    <sheet name="150 ORR" sheetId="2" r:id="rId2"/>
    <sheet name="SUNRIVER " sheetId="6" r:id="rId3"/>
    <sheet name="SUNRIVER" sheetId="3" state="hidden" r:id="rId4"/>
  </sheets>
  <definedNames>
    <definedName name="Account_Name" localSheetId="3">SUNRIVER!$G$3</definedName>
    <definedName name="Account_Name" localSheetId="2">'SUNRIVER '!$G$3</definedName>
    <definedName name="Account_Name">'150 ORR'!$G$3</definedName>
    <definedName name="Bonus" localSheetId="3">SUNRIVER!$K$3</definedName>
    <definedName name="Bonus" localSheetId="2">'SUNRIVER '!$J$3</definedName>
    <definedName name="Bonus">'150 ORR'!$J$3</definedName>
    <definedName name="Business_Unit" localSheetId="3">SUNRIVER!$G$5</definedName>
    <definedName name="Business_Unit" localSheetId="2">'SUNRIVER '!$G$5</definedName>
    <definedName name="Business_Unit">'150 ORR'!$G$5</definedName>
    <definedName name="LW" localSheetId="3">SUNRIVER!$K$4</definedName>
    <definedName name="LW" localSheetId="2">'SUNRIVER '!$J$4</definedName>
    <definedName name="LW">'150 ORR'!$J$4</definedName>
    <definedName name="Management_Fee" localSheetId="3">SUNRIVER!$K$6</definedName>
    <definedName name="Management_Fee" localSheetId="2">'SUNRIVER '!$J$6</definedName>
    <definedName name="Management_Fee">'150 ORR'!$J$6</definedName>
    <definedName name="Notification" localSheetId="3">SUNRIVER!$F$1</definedName>
    <definedName name="Notification" localSheetId="2">'SUNRIVER '!$F$1</definedName>
    <definedName name="Notification">'150 ORR'!$F$1</definedName>
    <definedName name="Site_Name" localSheetId="3">SUNRIVER!$G$4</definedName>
    <definedName name="Site_Name" localSheetId="2">'SUNRIVER '!$G$4</definedName>
    <definedName name="Site_Name">'150 ORR'!$G$4</definedName>
    <definedName name="State" localSheetId="3">SUNRIVER!$G$6</definedName>
    <definedName name="State" localSheetId="2">'SUNRIVER '!$G$6</definedName>
    <definedName name="State">'150 ORR'!$G$6</definedName>
    <definedName name="Template" localSheetId="3">SUNRIVER!$B$9:$D$37</definedName>
    <definedName name="Template" localSheetId="2">'SUNRIVER '!$B$9:$D$33</definedName>
    <definedName name="Template">'150 ORR'!$B$8:$D$33</definedName>
    <definedName name="Twfs" localSheetId="3">SUNRIVER!$K$5</definedName>
    <definedName name="Twfs" localSheetId="2">'SUNRIVER '!$J$5</definedName>
    <definedName name="Twfs">'150 ORR'!$J$5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" i="6" l="1"/>
  <c r="D11" i="6"/>
  <c r="D12" i="6"/>
  <c r="B13" i="6"/>
  <c r="B16" i="6" s="1"/>
  <c r="B33" i="6" s="1"/>
  <c r="C13" i="6"/>
  <c r="C20" i="6" s="1"/>
  <c r="D20" i="6" s="1"/>
  <c r="G13" i="6"/>
  <c r="H13" i="6"/>
  <c r="I13" i="6"/>
  <c r="I20" i="6" s="1"/>
  <c r="J13" i="6"/>
  <c r="J20" i="6" s="1"/>
  <c r="D14" i="6"/>
  <c r="H14" i="6"/>
  <c r="J14" i="6"/>
  <c r="C15" i="6"/>
  <c r="D15" i="6" s="1"/>
  <c r="H15" i="6"/>
  <c r="I15" i="6"/>
  <c r="J15" i="6"/>
  <c r="G16" i="6"/>
  <c r="G21" i="6" s="1"/>
  <c r="G27" i="6" s="1"/>
  <c r="G30" i="6" s="1"/>
  <c r="C17" i="6"/>
  <c r="D17" i="6" s="1"/>
  <c r="H17" i="6"/>
  <c r="J17" i="6"/>
  <c r="H20" i="6"/>
  <c r="C22" i="6"/>
  <c r="D22" i="6" s="1"/>
  <c r="H22" i="6"/>
  <c r="J22" i="6"/>
  <c r="C25" i="6"/>
  <c r="D25" i="6" s="1"/>
  <c r="H25" i="6"/>
  <c r="J25" i="6"/>
  <c r="C26" i="6"/>
  <c r="D26" i="6" s="1"/>
  <c r="H26" i="6"/>
  <c r="J26" i="6"/>
  <c r="D28" i="6"/>
  <c r="C29" i="6"/>
  <c r="D29" i="6" s="1"/>
  <c r="B30" i="6"/>
  <c r="C30" i="6"/>
  <c r="G33" i="6"/>
  <c r="C40" i="4"/>
  <c r="D13" i="6" l="1"/>
  <c r="D30" i="6"/>
  <c r="B21" i="6"/>
  <c r="B27" i="6" s="1"/>
  <c r="J16" i="6"/>
  <c r="J23" i="6" s="1"/>
  <c r="J18" i="6" s="1"/>
  <c r="I16" i="6"/>
  <c r="C16" i="6"/>
  <c r="H16" i="6"/>
  <c r="I23" i="6" l="1"/>
  <c r="I18" i="6" s="1"/>
  <c r="J31" i="6"/>
  <c r="D16" i="6"/>
  <c r="C19" i="6"/>
  <c r="C33" i="6"/>
  <c r="D33" i="6" s="1"/>
  <c r="C21" i="6"/>
  <c r="C18" i="6"/>
  <c r="C23" i="6"/>
  <c r="D23" i="6" s="1"/>
  <c r="H23" i="6"/>
  <c r="H18" i="6"/>
  <c r="I33" i="6"/>
  <c r="D18" i="6" l="1"/>
  <c r="C31" i="6"/>
  <c r="D31" i="6" s="1"/>
  <c r="D21" i="6"/>
  <c r="C27" i="6"/>
  <c r="D27" i="6" s="1"/>
  <c r="H19" i="6"/>
  <c r="H31" i="6"/>
  <c r="D19" i="6"/>
  <c r="C32" i="6"/>
  <c r="D32" i="6" s="1"/>
  <c r="H32" i="6" l="1"/>
  <c r="I19" i="6"/>
  <c r="H21" i="6"/>
  <c r="I21" i="6" l="1"/>
  <c r="I27" i="6" s="1"/>
  <c r="I30" i="6" s="1"/>
  <c r="H33" i="6"/>
  <c r="H27" i="6"/>
  <c r="H29" i="6" l="1"/>
  <c r="J32" i="6"/>
  <c r="J21" i="6"/>
  <c r="J33" i="6" l="1"/>
  <c r="H30" i="6"/>
  <c r="D38" i="4" s="1"/>
  <c r="J27" i="6"/>
  <c r="F38" i="4" l="1"/>
  <c r="G38" i="4"/>
  <c r="J29" i="6"/>
  <c r="J30" i="6" l="1"/>
  <c r="D39" i="4" s="1"/>
  <c r="F39" i="4" s="1"/>
  <c r="G39" i="4" l="1"/>
  <c r="G40" i="4" s="1"/>
  <c r="D40" i="4"/>
  <c r="U25" i="2" l="1"/>
  <c r="S25" i="2"/>
  <c r="U24" i="2"/>
  <c r="S24" i="2"/>
  <c r="Q24" i="2"/>
  <c r="U21" i="2"/>
  <c r="S21" i="2"/>
  <c r="Q21" i="2"/>
  <c r="U16" i="2"/>
  <c r="U14" i="2"/>
  <c r="S14" i="2"/>
  <c r="S15" i="2" s="1"/>
  <c r="Q14" i="2"/>
  <c r="U13" i="2"/>
  <c r="S13" i="2"/>
  <c r="Q13" i="2"/>
  <c r="U12" i="2"/>
  <c r="U19" i="2" s="1"/>
  <c r="T12" i="2"/>
  <c r="T15" i="2" s="1"/>
  <c r="S12" i="2"/>
  <c r="S19" i="2" s="1"/>
  <c r="R12" i="2"/>
  <c r="R15" i="2" s="1"/>
  <c r="R32" i="2" s="1"/>
  <c r="Q12" i="2"/>
  <c r="Q19" i="2" s="1"/>
  <c r="P12" i="2"/>
  <c r="P15" i="2" s="1"/>
  <c r="P20" i="2" l="1"/>
  <c r="P26" i="2" s="1"/>
  <c r="P28" i="2" s="1"/>
  <c r="P34" i="2" s="1"/>
  <c r="P31" i="2"/>
  <c r="Q15" i="2"/>
  <c r="Q22" i="2" s="1"/>
  <c r="U15" i="2"/>
  <c r="U22" i="2" s="1"/>
  <c r="R20" i="2"/>
  <c r="R26" i="2" s="1"/>
  <c r="R29" i="2" s="1"/>
  <c r="R35" i="2" s="1"/>
  <c r="S22" i="2"/>
  <c r="S17" i="2" s="1"/>
  <c r="T32" i="2"/>
  <c r="T20" i="2"/>
  <c r="T26" i="2" s="1"/>
  <c r="T29" i="2" s="1"/>
  <c r="T35" i="2" s="1"/>
  <c r="Q18" i="2" l="1"/>
  <c r="Q31" i="2" s="1"/>
  <c r="Q32" i="2" s="1"/>
  <c r="Q17" i="2"/>
  <c r="Q30" i="2" s="1"/>
  <c r="U18" i="2"/>
  <c r="U31" i="2" s="1"/>
  <c r="U17" i="2"/>
  <c r="U30" i="2" s="1"/>
  <c r="S30" i="2"/>
  <c r="S18" i="2"/>
  <c r="S31" i="2" s="1"/>
  <c r="K16" i="3"/>
  <c r="H16" i="3"/>
  <c r="K17" i="3"/>
  <c r="J17" i="3"/>
  <c r="H17" i="3"/>
  <c r="Q20" i="2" l="1"/>
  <c r="Q26" i="2" s="1"/>
  <c r="Q28" i="2" s="1"/>
  <c r="Q29" i="2" s="1"/>
  <c r="Q35" i="2" s="1"/>
  <c r="U32" i="2"/>
  <c r="U20" i="2"/>
  <c r="U26" i="2" s="1"/>
  <c r="U28" i="2" s="1"/>
  <c r="U29" i="2" s="1"/>
  <c r="U35" i="2" s="1"/>
  <c r="S20" i="2"/>
  <c r="S26" i="2" s="1"/>
  <c r="S28" i="2" s="1"/>
  <c r="S29" i="2" s="1"/>
  <c r="S32" i="2"/>
  <c r="O13" i="2"/>
  <c r="L13" i="2"/>
  <c r="J13" i="2"/>
  <c r="H13" i="2"/>
  <c r="O14" i="2"/>
  <c r="L14" i="2"/>
  <c r="J14" i="2"/>
  <c r="H14" i="2"/>
  <c r="S35" i="2" l="1"/>
  <c r="D8" i="4"/>
  <c r="F8" i="4" s="1"/>
  <c r="G8" i="4" s="1"/>
  <c r="K24" i="2"/>
  <c r="L21" i="2" l="1"/>
  <c r="L24" i="2"/>
  <c r="C24" i="2" l="1"/>
  <c r="D24" i="2" s="1"/>
  <c r="H24" i="2"/>
  <c r="J24" i="2"/>
  <c r="M24" i="2"/>
  <c r="O24" i="2"/>
  <c r="C22" i="4" l="1"/>
  <c r="C14" i="4"/>
  <c r="C31" i="4" l="1"/>
  <c r="H16" i="2" l="1"/>
  <c r="L30" i="3" l="1"/>
  <c r="K28" i="3"/>
  <c r="L28" i="3" s="1"/>
  <c r="K27" i="3"/>
  <c r="K24" i="3"/>
  <c r="L24" i="3" s="1"/>
  <c r="K19" i="3"/>
  <c r="L19" i="3" s="1"/>
  <c r="L16" i="3"/>
  <c r="K15" i="3"/>
  <c r="K22" i="3" s="1"/>
  <c r="J15" i="3"/>
  <c r="L14" i="3"/>
  <c r="L13" i="3"/>
  <c r="L12" i="3"/>
  <c r="I30" i="3"/>
  <c r="H28" i="3"/>
  <c r="I28" i="3" s="1"/>
  <c r="H27" i="3"/>
  <c r="H24" i="3"/>
  <c r="I24" i="3" s="1"/>
  <c r="H19" i="3"/>
  <c r="I19" i="3" s="1"/>
  <c r="I16" i="3"/>
  <c r="H15" i="3"/>
  <c r="H22" i="3" s="1"/>
  <c r="I22" i="3" s="1"/>
  <c r="G15" i="3"/>
  <c r="G18" i="3" s="1"/>
  <c r="I14" i="3"/>
  <c r="I13" i="3"/>
  <c r="I12" i="3"/>
  <c r="D30" i="3"/>
  <c r="C28" i="3"/>
  <c r="D28" i="3" s="1"/>
  <c r="C27" i="3"/>
  <c r="C24" i="3"/>
  <c r="D24" i="3" s="1"/>
  <c r="C19" i="3"/>
  <c r="D19" i="3" s="1"/>
  <c r="C17" i="3"/>
  <c r="D17" i="3" s="1"/>
  <c r="D16" i="3"/>
  <c r="C15" i="3"/>
  <c r="C22" i="3" s="1"/>
  <c r="D22" i="3" s="1"/>
  <c r="B15" i="3"/>
  <c r="B18" i="3" s="1"/>
  <c r="B23" i="3" s="1"/>
  <c r="B29" i="3" s="1"/>
  <c r="D14" i="3"/>
  <c r="D13" i="3"/>
  <c r="D12" i="3"/>
  <c r="O25" i="2"/>
  <c r="O21" i="2"/>
  <c r="O16" i="2"/>
  <c r="O12" i="2"/>
  <c r="O19" i="2" s="1"/>
  <c r="N12" i="2"/>
  <c r="N15" i="2" s="1"/>
  <c r="N17" i="2" s="1"/>
  <c r="M27" i="2"/>
  <c r="M21" i="2"/>
  <c r="M16" i="2"/>
  <c r="M14" i="2"/>
  <c r="M13" i="2"/>
  <c r="L12" i="2"/>
  <c r="L19" i="2" s="1"/>
  <c r="K12" i="2"/>
  <c r="M11" i="2"/>
  <c r="M10" i="2"/>
  <c r="M9" i="2"/>
  <c r="J25" i="2"/>
  <c r="M25" i="2" s="1"/>
  <c r="J21" i="2"/>
  <c r="J12" i="2"/>
  <c r="I12" i="2"/>
  <c r="I15" i="2" s="1"/>
  <c r="H25" i="2"/>
  <c r="H21" i="2"/>
  <c r="H12" i="2"/>
  <c r="H19" i="2" s="1"/>
  <c r="G12" i="2"/>
  <c r="G15" i="2" s="1"/>
  <c r="G32" i="2" s="1"/>
  <c r="D27" i="2"/>
  <c r="C25" i="2"/>
  <c r="D25" i="2" s="1"/>
  <c r="C21" i="2"/>
  <c r="D21" i="2" s="1"/>
  <c r="C16" i="2"/>
  <c r="D16" i="2" s="1"/>
  <c r="C14" i="2"/>
  <c r="D13" i="2"/>
  <c r="C12" i="2"/>
  <c r="C19" i="2" s="1"/>
  <c r="D19" i="2" s="1"/>
  <c r="B12" i="2"/>
  <c r="B15" i="2" s="1"/>
  <c r="B20" i="2" s="1"/>
  <c r="B26" i="2" s="1"/>
  <c r="D11" i="2"/>
  <c r="D10" i="2"/>
  <c r="D9" i="2"/>
  <c r="B29" i="2" l="1"/>
  <c r="K15" i="2"/>
  <c r="K19" i="2"/>
  <c r="M19" i="2" s="1"/>
  <c r="B32" i="3"/>
  <c r="J18" i="3"/>
  <c r="J22" i="3"/>
  <c r="L22" i="3" s="1"/>
  <c r="D15" i="3"/>
  <c r="B35" i="3"/>
  <c r="D12" i="2"/>
  <c r="J19" i="2"/>
  <c r="C15" i="2"/>
  <c r="D15" i="2" s="1"/>
  <c r="H15" i="2"/>
  <c r="H22" i="2" s="1"/>
  <c r="B32" i="2"/>
  <c r="J25" i="3"/>
  <c r="K18" i="3"/>
  <c r="K25" i="3" s="1"/>
  <c r="L15" i="3"/>
  <c r="L17" i="3"/>
  <c r="L27" i="3"/>
  <c r="H18" i="3"/>
  <c r="H25" i="3" s="1"/>
  <c r="I25" i="3" s="1"/>
  <c r="I15" i="3"/>
  <c r="G35" i="3"/>
  <c r="G23" i="3"/>
  <c r="G29" i="3" s="1"/>
  <c r="I27" i="3"/>
  <c r="I17" i="3"/>
  <c r="D27" i="3"/>
  <c r="C18" i="3"/>
  <c r="O15" i="2"/>
  <c r="O22" i="2" s="1"/>
  <c r="N32" i="2"/>
  <c r="N20" i="2"/>
  <c r="N26" i="2" s="1"/>
  <c r="N29" i="2" s="1"/>
  <c r="N35" i="2" s="1"/>
  <c r="M12" i="2"/>
  <c r="L15" i="2"/>
  <c r="I32" i="2"/>
  <c r="I20" i="2"/>
  <c r="I26" i="2" s="1"/>
  <c r="I29" i="2" s="1"/>
  <c r="I35" i="2" s="1"/>
  <c r="J15" i="2"/>
  <c r="G20" i="2"/>
  <c r="G26" i="2" s="1"/>
  <c r="G29" i="2" s="1"/>
  <c r="G35" i="2" s="1"/>
  <c r="D14" i="2"/>
  <c r="L22" i="2" l="1"/>
  <c r="L17" i="2" s="1"/>
  <c r="C22" i="2"/>
  <c r="C18" i="2" s="1"/>
  <c r="K22" i="2"/>
  <c r="K17" i="2" s="1"/>
  <c r="H17" i="2"/>
  <c r="G32" i="3"/>
  <c r="J22" i="2"/>
  <c r="J18" i="2" s="1"/>
  <c r="J31" i="2" s="1"/>
  <c r="C17" i="2"/>
  <c r="D17" i="2" s="1"/>
  <c r="J20" i="3"/>
  <c r="J35" i="3"/>
  <c r="L25" i="3"/>
  <c r="L18" i="3"/>
  <c r="K20" i="3"/>
  <c r="H21" i="3"/>
  <c r="I21" i="3" s="1"/>
  <c r="J21" i="3" s="1"/>
  <c r="K21" i="3" s="1"/>
  <c r="K34" i="3" s="1"/>
  <c r="L34" i="3" s="1"/>
  <c r="I18" i="3"/>
  <c r="H20" i="3"/>
  <c r="C25" i="3"/>
  <c r="D18" i="3"/>
  <c r="C20" i="3"/>
  <c r="O17" i="2"/>
  <c r="O18" i="2"/>
  <c r="M15" i="2"/>
  <c r="D22" i="2" l="1"/>
  <c r="J17" i="2"/>
  <c r="J20" i="2" s="1"/>
  <c r="K32" i="2"/>
  <c r="C30" i="2"/>
  <c r="D30" i="2" s="1"/>
  <c r="M22" i="2"/>
  <c r="J23" i="3"/>
  <c r="J29" i="3" s="1"/>
  <c r="C20" i="2"/>
  <c r="C26" i="2" s="1"/>
  <c r="H18" i="2"/>
  <c r="L20" i="3"/>
  <c r="K33" i="3"/>
  <c r="L33" i="3" s="1"/>
  <c r="K23" i="3"/>
  <c r="K29" i="3" s="1"/>
  <c r="L21" i="3"/>
  <c r="K35" i="3"/>
  <c r="L23" i="3"/>
  <c r="H34" i="3"/>
  <c r="I34" i="3" s="1"/>
  <c r="I20" i="3"/>
  <c r="H33" i="3"/>
  <c r="H23" i="3"/>
  <c r="D25" i="3"/>
  <c r="C21" i="3"/>
  <c r="C23" i="3" s="1"/>
  <c r="D20" i="3"/>
  <c r="C33" i="3"/>
  <c r="O20" i="2"/>
  <c r="O31" i="2"/>
  <c r="O30" i="2"/>
  <c r="K18" i="2"/>
  <c r="L31" i="2" s="1"/>
  <c r="M31" i="2" s="1"/>
  <c r="H30" i="2"/>
  <c r="D18" i="2"/>
  <c r="C31" i="2"/>
  <c r="D31" i="2" s="1"/>
  <c r="C32" i="2" l="1"/>
  <c r="D32" i="2" s="1"/>
  <c r="D20" i="2"/>
  <c r="K20" i="2"/>
  <c r="K26" i="2" s="1"/>
  <c r="M18" i="2"/>
  <c r="H31" i="2"/>
  <c r="H32" i="2" s="1"/>
  <c r="K31" i="3"/>
  <c r="K32" i="3" s="1"/>
  <c r="L20" i="2"/>
  <c r="L26" i="2" s="1"/>
  <c r="L28" i="2" s="1"/>
  <c r="L30" i="2"/>
  <c r="L32" i="2" s="1"/>
  <c r="M32" i="2" s="1"/>
  <c r="M17" i="2"/>
  <c r="J32" i="3"/>
  <c r="H20" i="2"/>
  <c r="H26" i="2" s="1"/>
  <c r="H28" i="2" s="1"/>
  <c r="O26" i="2"/>
  <c r="O28" i="2" s="1"/>
  <c r="O32" i="2"/>
  <c r="L35" i="3"/>
  <c r="J30" i="2"/>
  <c r="J26" i="2"/>
  <c r="J28" i="2" s="1"/>
  <c r="L29" i="3"/>
  <c r="I23" i="3"/>
  <c r="H29" i="3"/>
  <c r="I33" i="3"/>
  <c r="H35" i="3"/>
  <c r="I35" i="3" s="1"/>
  <c r="D23" i="3"/>
  <c r="C29" i="3"/>
  <c r="D21" i="3"/>
  <c r="C34" i="3"/>
  <c r="D34" i="3" s="1"/>
  <c r="D33" i="3"/>
  <c r="C35" i="3"/>
  <c r="D35" i="3" s="1"/>
  <c r="D26" i="2"/>
  <c r="M20" i="2" l="1"/>
  <c r="K28" i="2"/>
  <c r="K29" i="2" s="1"/>
  <c r="K35" i="2" s="1"/>
  <c r="L32" i="3"/>
  <c r="H29" i="2"/>
  <c r="L29" i="2"/>
  <c r="D12" i="4" s="1"/>
  <c r="F12" i="4" s="1"/>
  <c r="G12" i="4" s="1"/>
  <c r="J29" i="2"/>
  <c r="O29" i="2"/>
  <c r="M26" i="2"/>
  <c r="D29" i="3"/>
  <c r="H31" i="3"/>
  <c r="H32" i="3" s="1"/>
  <c r="M30" i="2"/>
  <c r="J32" i="2"/>
  <c r="I29" i="3"/>
  <c r="C31" i="3"/>
  <c r="C28" i="2"/>
  <c r="H35" i="2" l="1"/>
  <c r="D7" i="4"/>
  <c r="F7" i="4" s="1"/>
  <c r="G7" i="4" s="1"/>
  <c r="D9" i="4"/>
  <c r="F9" i="4" s="1"/>
  <c r="G9" i="4" s="1"/>
  <c r="D5" i="4"/>
  <c r="F5" i="4" s="1"/>
  <c r="G5" i="4" s="1"/>
  <c r="O35" i="2"/>
  <c r="D11" i="4"/>
  <c r="F11" i="4" s="1"/>
  <c r="G11" i="4" s="1"/>
  <c r="J35" i="2"/>
  <c r="D10" i="4"/>
  <c r="F10" i="4" s="1"/>
  <c r="G10" i="4" s="1"/>
  <c r="D6" i="4"/>
  <c r="F6" i="4" s="1"/>
  <c r="G6" i="4" s="1"/>
  <c r="D13" i="4"/>
  <c r="F13" i="4" s="1"/>
  <c r="G13" i="4" s="1"/>
  <c r="L35" i="2"/>
  <c r="L31" i="3"/>
  <c r="C32" i="3"/>
  <c r="D32" i="3" s="1"/>
  <c r="D31" i="3"/>
  <c r="M28" i="2"/>
  <c r="C29" i="2"/>
  <c r="D29" i="2" s="1"/>
  <c r="D28" i="2"/>
  <c r="D21" i="4" l="1"/>
  <c r="G21" i="4" s="1"/>
  <c r="D28" i="4"/>
  <c r="G28" i="4" s="1"/>
  <c r="M29" i="2"/>
  <c r="D29" i="4"/>
  <c r="G29" i="4" s="1"/>
  <c r="D30" i="4"/>
  <c r="I31" i="3"/>
  <c r="I32" i="3" l="1"/>
  <c r="D20" i="4"/>
  <c r="D14" i="4"/>
  <c r="G14" i="4"/>
  <c r="G30" i="4"/>
  <c r="D31" i="4"/>
  <c r="G20" i="4" l="1"/>
  <c r="D22" i="4"/>
  <c r="G31" i="4"/>
  <c r="G22" i="4" l="1"/>
</calcChain>
</file>

<file path=xl/comments1.xml><?xml version="1.0" encoding="utf-8"?>
<comments xmlns="http://schemas.openxmlformats.org/spreadsheetml/2006/main">
  <authors>
    <author>Makwana, Chirag [CWS]</author>
    <author>Barnabas, Anitha [Svcs]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Insurance applicable as ESIC is N.A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Insurance N.A as ESIC is applicable</t>
        </r>
      </text>
    </comment>
    <comment ref="L16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Insurance N.A as ESIC is applicable</t>
        </r>
      </text>
    </comment>
    <comment ref="O16" authorId="1" shapeId="0">
      <text>
        <r>
          <rPr>
            <b/>
            <sz val="9"/>
            <color indexed="81"/>
            <rFont val="Tahoma"/>
            <family val="2"/>
          </rPr>
          <t>Insurance applicable as ESIC is N.A</t>
        </r>
      </text>
    </comment>
    <comment ref="Q16" authorId="1" shapeId="0">
      <text>
        <r>
          <rPr>
            <b/>
            <sz val="9"/>
            <color indexed="81"/>
            <rFont val="Tahoma"/>
            <family val="2"/>
          </rPr>
          <t>Insurance applicable as ESIC is N.A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" authorId="1" shapeId="0">
      <text>
        <r>
          <rPr>
            <b/>
            <sz val="9"/>
            <color indexed="81"/>
            <rFont val="Tahoma"/>
            <family val="2"/>
          </rPr>
          <t xml:space="preserve">
Insurance applicable as ESIC is N.A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6" authorId="1" shapeId="0">
      <text>
        <r>
          <rPr>
            <b/>
            <sz val="9"/>
            <color indexed="81"/>
            <rFont val="Tahoma"/>
            <family val="2"/>
          </rPr>
          <t>Insurance N.A as ESIC is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ESIC N.A because Gross Salary is above 21K / Month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ESIC is calculated on number of factors like Gross Pay, Bonus, Leave Wages, National Festival Holidays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ESIC is calculated on number of factors like Gross Pay, Bonus, Leave Wages, National Festival Holidays</t>
        </r>
      </text>
    </comment>
    <comment ref="O17" authorId="1" shapeId="0">
      <text>
        <r>
          <rPr>
            <b/>
            <sz val="9"/>
            <color indexed="81"/>
            <rFont val="Tahoma"/>
            <family val="2"/>
          </rPr>
          <t>Makwana, Chirag [CWS]:
ESIC N.A because Gross Salary is above 21K /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7" authorId="1" shapeId="0">
      <text>
        <r>
          <rPr>
            <b/>
            <sz val="9"/>
            <color indexed="81"/>
            <rFont val="Tahoma"/>
            <family val="2"/>
          </rPr>
          <t>ESIC N.A because Gross Salary is above 21K /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" authorId="1" shapeId="0">
      <text>
        <r>
          <rPr>
            <b/>
            <sz val="9"/>
            <color indexed="81"/>
            <rFont val="Tahoma"/>
            <family val="2"/>
          </rPr>
          <t>ESIC N.A because Gross Salary is above 21K / Month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7" authorId="1" shapeId="0">
      <text>
        <r>
          <rPr>
            <b/>
            <sz val="9"/>
            <color indexed="81"/>
            <rFont val="Tahoma"/>
            <family val="2"/>
          </rPr>
          <t>ESIC is calculated on number of factors like Gross Pay, Bonus, Leave Wages, National Festival Holidays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Since Gross pay is Considered on 15k flat 1950 Employer contribution is deducted.
For Employee - it is flat 1800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Since Gross pay is Considered on 15k flat 1950 Employer contribution is deducted.
For Employee - it is flat 1800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Since Gross pay is Considered on 15k flat 1950 Employer contribution is deducted.
For Employee - it is flat 1800</t>
        </r>
      </text>
    </comment>
    <comment ref="O18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Since Gross pay is Considered on 15k flat 1950 Employer contribution is deducted.
For Employee - it is flat 1800</t>
        </r>
      </text>
    </comment>
    <comment ref="Q18" authorId="1" shapeId="0">
      <text>
        <r>
          <rPr>
            <b/>
            <sz val="9"/>
            <color indexed="81"/>
            <rFont val="Tahoma"/>
            <family val="2"/>
          </rPr>
          <t>Since Gross pay is Considered on 15k flat 1950 Employer contribution is deducted.For Employee - it is flat 1800"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" authorId="1" shapeId="0">
      <text>
        <r>
          <rPr>
            <b/>
            <sz val="9"/>
            <color indexed="81"/>
            <rFont val="Tahoma"/>
            <family val="2"/>
          </rPr>
          <t>Since Gross pay is Considered on 15k flat 1950 Employer contribution is deducted.For Employee - it is flat 1800"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8" authorId="1" shapeId="0">
      <text>
        <r>
          <rPr>
            <b/>
            <sz val="9"/>
            <color indexed="81"/>
            <rFont val="Tahoma"/>
            <family val="2"/>
          </rPr>
          <t>Since Gross pay is Considered on 15k flat 1950 Employer contribution is deducted.For Employee - it is flat 1800"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Minimum Bonus to be paid in a year is 7k per year.
However, as per Labour LAW, IF THE Gross pay is higher than 7000 then 8.33% is calculated on Gross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Minimum Bonus to be paid in a year is 7k per year.
However, as per Labour LAW, IF THE Gross pay is higher than 7000 then 8.33% is calculated on Gross</t>
        </r>
      </text>
    </comment>
    <comment ref="L19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Minimum Bonus to be paid in a year is 7k per year.
However, as per Labour LAW, IF THE Gross pay is higher than 7000 then 8.33% is calculated on Gross</t>
        </r>
      </text>
    </comment>
    <comment ref="O19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Minimum Bonus to be paid in a year is 7k per year.
However, as per Labour LAW, IF THE Gross pay is higher than 7000 then 8.33% is calculated on Gross</t>
        </r>
      </text>
    </comment>
    <comment ref="Q19" authorId="1" shapeId="0">
      <text>
        <r>
          <rPr>
            <b/>
            <sz val="9"/>
            <color indexed="81"/>
            <rFont val="Tahoma"/>
            <family val="2"/>
          </rPr>
          <t>Minimum Bonus to be paid in a year is 7k per year. However, as per Labour LAW, IF THE Gross pay is higher than 7000 then 8.33% is calculated on Gross</t>
        </r>
      </text>
    </comment>
    <comment ref="S19" authorId="1" shapeId="0">
      <text>
        <r>
          <rPr>
            <b/>
            <sz val="9"/>
            <color indexed="81"/>
            <rFont val="Tahoma"/>
            <family val="2"/>
          </rPr>
          <t>Minimum Bonus to be paid in a year is 7k per year. However, as per Labour LAW, IF THE Gross pay is higher than 7000 then 8.33% is calculated on Gross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9" authorId="1" shapeId="0">
      <text>
        <r>
          <rPr>
            <b/>
            <sz val="9"/>
            <color indexed="81"/>
            <rFont val="Tahoma"/>
            <family val="2"/>
          </rPr>
          <t>Minimum Bonus to be paid in a year is 7k per year. However, as per Labour LAW, IF THE Gross pay is higher than 7000 then 8.33% is calculated on Gross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 xml:space="preserve">Makwana, Chirag [CWS]:
LWF is INR 60 per Annum - paid out on monthly basis
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LWF is INR 60 per Annum - paid out on monthly basis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LWF is INR 60 per Annum - paid out on monthly basis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Makwana, Chirag [CWS]:</t>
        </r>
        <r>
          <rPr>
            <sz val="9"/>
            <color indexed="81"/>
            <rFont val="Tahoma"/>
            <family val="2"/>
          </rPr>
          <t xml:space="preserve">
LWF is INR 60 per Annum - paid out on monthly basis</t>
        </r>
      </text>
    </comment>
    <comment ref="Q21" authorId="1" shapeId="0">
      <text>
        <r>
          <rPr>
            <b/>
            <sz val="9"/>
            <color indexed="81"/>
            <rFont val="Tahoma"/>
            <family val="2"/>
          </rPr>
          <t>LWF is INR 60 per Annum - paid out on monthly basis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1" authorId="1" shapeId="0">
      <text>
        <r>
          <rPr>
            <b/>
            <sz val="9"/>
            <color indexed="81"/>
            <rFont val="Tahoma"/>
            <family val="2"/>
          </rPr>
          <t>LWF is INR 60 per Annum - paid out on monthly basis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21" authorId="1" shapeId="0">
      <text>
        <r>
          <rPr>
            <b/>
            <sz val="9"/>
            <color indexed="81"/>
            <rFont val="Tahoma"/>
            <family val="2"/>
          </rPr>
          <t>LWF is INR 60 per Annum - paid out on monthly basis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Barnabas, Anitha [Svcs]</author>
  </authors>
  <commentList>
    <comment ref="H17" authorId="0" shapeId="0">
      <text>
        <r>
          <rPr>
            <b/>
            <sz val="9"/>
            <color indexed="81"/>
            <rFont val="Tahoma"/>
            <family val="2"/>
          </rPr>
          <t>Insurance applicable as ESIC is N.A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Insurance N.A as ESIC is applicable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ESIC N.A because Gross Salary is above 21K / Month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 xml:space="preserve">
ESIC is calculated on number of factors like Gross Pay, Bonus, Leave Wages, National Festival Holidays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Since Gross pay is Considered on 15k flat 1950 Employer contribution is deducted.
For Employee - it is flat 1800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Since Gross pay is Considered on 15k flat 1950 Employer contribution is deducted.
For Employee - it is flat 1800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Minimum Bonus to be paid in a year is 7k per year.
However, as per Labour LAW, IF THE Gross pay is higher than 7000 then 8.33% is calculated on Gross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 xml:space="preserve">
Minimum Bonus to be paid in a year is 7k per year.
However, as per Labour LAW, IF THE Gross pay is higher than 7000 then 8.33% is calculated on Gross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LWF is INR 60 per Annum - paid out on monthly basis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LWF is INR 60 per Annum - paid out on monthly basis</t>
        </r>
      </text>
    </comment>
  </commentList>
</comments>
</file>

<file path=xl/comments3.xml><?xml version="1.0" encoding="utf-8"?>
<comments xmlns="http://schemas.openxmlformats.org/spreadsheetml/2006/main">
  <authors>
    <author>Barnabas, Anitha [Svcs]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Insurance applicable as ESIC is N.A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</rPr>
          <t>Insurance N.A as ESIC is applicable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ESIC N.A because Gross Salary is above 21K / Month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 xml:space="preserve">
ESIC is calculated on number of factors like Gross Pay, Bonus, Leave Wages, National Festival Holidays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Since Gross pay is Considered on 15k flat 1950 Employer contribution is deducted.
For Employee - it is flat 1800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Since Gross pay is Considered on 15k flat 1950 Employer contribution is deducted.
For Employee - it is flat 1800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Minimum Bonus to be paid in a year is 7k per year.
However, as per Labour LAW, IF THE Gross pay is higher than 7000 then 8.33% is calculated on Gross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 xml:space="preserve">
Minimum Bonus to be paid in a year is 7k per year.
However, as per Labour LAW, IF THE Gross pay is higher than 7000 then 8.33% is calculated on Gross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LWF is INR 60 per Annum - paid out on monthly basis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LWF is INR 60 per Annum - paid out on monthly basis</t>
        </r>
      </text>
    </comment>
  </commentList>
</comments>
</file>

<file path=xl/sharedStrings.xml><?xml version="1.0" encoding="utf-8"?>
<sst xmlns="http://schemas.openxmlformats.org/spreadsheetml/2006/main" count="300" uniqueCount="94">
  <si>
    <t>Item</t>
  </si>
  <si>
    <t>Value</t>
  </si>
  <si>
    <t>LW</t>
  </si>
  <si>
    <t>Account Name</t>
  </si>
  <si>
    <t>Bonus Pay-out</t>
  </si>
  <si>
    <t>NFH</t>
  </si>
  <si>
    <t>Site</t>
  </si>
  <si>
    <t>Leave Wages Pay-Out</t>
  </si>
  <si>
    <t>NFH Multiply</t>
  </si>
  <si>
    <t>Business Unit</t>
  </si>
  <si>
    <t>24/7 operations</t>
  </si>
  <si>
    <t>State</t>
  </si>
  <si>
    <t>Karnataka</t>
  </si>
  <si>
    <t>Management Fee</t>
  </si>
  <si>
    <t>Vendor Name</t>
  </si>
  <si>
    <t>Particulars</t>
  </si>
  <si>
    <t>Cat of Res1</t>
  </si>
  <si>
    <t>Cat of Res1 Rev</t>
  </si>
  <si>
    <t>Impact</t>
  </si>
  <si>
    <t xml:space="preserve">Basic </t>
  </si>
  <si>
    <t>Dearness Allowance (DA)</t>
  </si>
  <si>
    <t>Service Weightage (SW)</t>
  </si>
  <si>
    <t>Sub Total 1</t>
  </si>
  <si>
    <t>Other Allowances</t>
  </si>
  <si>
    <t>HRA</t>
  </si>
  <si>
    <t>Gross</t>
  </si>
  <si>
    <t>Group insurance</t>
  </si>
  <si>
    <t>ESI 3.25%</t>
  </si>
  <si>
    <t>PF 13%</t>
  </si>
  <si>
    <t>Bonus 8.33%</t>
  </si>
  <si>
    <t>Sub Total III</t>
  </si>
  <si>
    <t>Labour Welfare Fund (LWF)</t>
  </si>
  <si>
    <t>Leave Wages  (CL, PL, SL)</t>
  </si>
  <si>
    <t>NFH Applicability</t>
  </si>
  <si>
    <t>Leave Wages  (Nat.+ Fes. Holidays)</t>
  </si>
  <si>
    <t>Uniform &amp; Shoes</t>
  </si>
  <si>
    <t>Sub Total IV</t>
  </si>
  <si>
    <t>Management Fee %</t>
  </si>
  <si>
    <t>Total CTC</t>
  </si>
  <si>
    <t>Deduction ESI 0.75%</t>
  </si>
  <si>
    <t>Deduction PF 12%</t>
  </si>
  <si>
    <t>Take home of the Staff</t>
  </si>
  <si>
    <t>Deployment</t>
  </si>
  <si>
    <t>Goldman Sachs</t>
  </si>
  <si>
    <t>Monthly</t>
  </si>
  <si>
    <t>% Fee</t>
  </si>
  <si>
    <t>MW applicable from 4-2021 Thru 3-2022</t>
  </si>
  <si>
    <t>JLLIN-5 GS-KalyaniTechPark,Blo</t>
  </si>
  <si>
    <t>No</t>
  </si>
  <si>
    <t>Quess Corp Limited</t>
  </si>
  <si>
    <t>JLLIN-5 GS Sunriver</t>
  </si>
  <si>
    <t>HK Supervisor/Handy Man/Storeman</t>
  </si>
  <si>
    <t>Machine Operator</t>
  </si>
  <si>
    <t>Traffic Wardens</t>
  </si>
  <si>
    <t>Existing MW wef 
1 Apr 20 to Mar 21</t>
  </si>
  <si>
    <t>Revised MW wef 
1 Apr 21 to Mar 22</t>
  </si>
  <si>
    <t>HK Supervisor</t>
  </si>
  <si>
    <t>JANITORS</t>
  </si>
  <si>
    <t>PROPERTY MANAGEMENT</t>
  </si>
  <si>
    <t>Category</t>
  </si>
  <si>
    <t>Revised Unit  Cost</t>
  </si>
  <si>
    <t>Revised Spend PM</t>
  </si>
  <si>
    <t>Janitor - Office Area</t>
  </si>
  <si>
    <t>Handyman (Carpenter)</t>
  </si>
  <si>
    <t>Storeman</t>
  </si>
  <si>
    <t>Parking Marshals</t>
  </si>
  <si>
    <t>Total Spend PM</t>
  </si>
  <si>
    <t>HCM ( Childcare/Fitness/Wellness)</t>
  </si>
  <si>
    <t>Supervisor</t>
  </si>
  <si>
    <t>Office Boys</t>
  </si>
  <si>
    <t>150 ORR - KTP LOCATION_DA REVISION  - Price Comparison w.e.f 01-April-2021</t>
  </si>
  <si>
    <t>Truck Disinfection</t>
  </si>
  <si>
    <t>Total CTC incl Food Allowance</t>
  </si>
  <si>
    <t>Janitor / Parking Marshals/Truck Disinfection</t>
  </si>
  <si>
    <t>Food Allowance</t>
  </si>
  <si>
    <t>HRA % (Skilled -10%/Unskilled-5%/Semi skilled - 7.5%)</t>
  </si>
  <si>
    <r>
      <rPr>
        <b/>
        <sz val="10"/>
        <color rgb="FFFF0000"/>
        <rFont val="Arial"/>
        <family val="2"/>
      </rPr>
      <t>150 ORR</t>
    </r>
    <r>
      <rPr>
        <b/>
        <sz val="10"/>
        <rFont val="Arial"/>
        <family val="2"/>
      </rPr>
      <t xml:space="preserve"> - KTP LOCATION_DA REVISION  - Price Comparison w.e.f 01-April-2021 to 31-Mar-2022</t>
    </r>
  </si>
  <si>
    <r>
      <rPr>
        <b/>
        <sz val="10"/>
        <color rgb="FFFF0000"/>
        <rFont val="Arial"/>
        <family val="2"/>
      </rPr>
      <t>SUNRIVER</t>
    </r>
    <r>
      <rPr>
        <b/>
        <sz val="10"/>
        <rFont val="Arial"/>
        <family val="2"/>
      </rPr>
      <t>- EGL LOCATION_DA REVISION  - Price Comparison w.e.f 01-April-2021 to 31-Mar-2022</t>
    </r>
  </si>
  <si>
    <t>NFH Applicability (Cannot delete this Row as ESIC cal is impacted)</t>
  </si>
  <si>
    <t>Designation</t>
  </si>
  <si>
    <t>Supervisor - Fitness Center / Wellness / Child care</t>
  </si>
  <si>
    <t>Office Boys - Wellness</t>
  </si>
  <si>
    <t>Janitor- Fitness Center / Child Care</t>
  </si>
  <si>
    <t>Office Boys (HCM)</t>
  </si>
  <si>
    <t>Janitor - Office Area (Including HCM)</t>
  </si>
  <si>
    <t>HK Supervisor (Including HCM)</t>
  </si>
  <si>
    <t>Unit  Cost</t>
  </si>
  <si>
    <t>Monthly Cost</t>
  </si>
  <si>
    <t>Unit CTC</t>
  </si>
  <si>
    <t>Total Monthly Cost</t>
  </si>
  <si>
    <t>MW+F10:S10</t>
  </si>
  <si>
    <t>Janitors</t>
  </si>
  <si>
    <t xml:space="preserve">HRA % </t>
  </si>
  <si>
    <t xml:space="preserve">NFH Applicability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</si>
</sst>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(* #,##0_);_(* \(#,##0\);_(* &quot;-&quot;_);_(@_)"/>
    <numFmt numFmtId="43" formatCode="_(* #,##0.00_);_(* \(#,##0.00\);_(* &quot;-&quot;??_);_(@_)"/>
    <numFmt numFmtId="164" formatCode="_-* #,##0_-;\-* #,##0_-;_-* &quot;-&quot;??_-;_-@_-"/>
    <numFmt numFmtId="165" formatCode="_(* #,##0.0_);_(* \(#,##0.0\);_(* &quot;-&quot;??_);_(@_)"/>
    <numFmt numFmtId="166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30613"/>
        <bgColor indexed="64"/>
      </patternFill>
    </fill>
    <fill>
      <patternFill patternType="solid">
        <fgColor rgb="FFE307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6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66">
    <xf numFmtId="0" fontId="0" fillId="0" borderId="0" xfId="0"/>
    <xf numFmtId="0" fontId="2" fillId="3" borderId="0" xfId="0" applyFont="1" applyFill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3" fillId="4" borderId="19" xfId="0" applyFont="1" applyFill="1" applyBorder="1" applyAlignment="1">
      <alignment horizontal="center"/>
    </xf>
    <xf numFmtId="0" fontId="0" fillId="0" borderId="20" xfId="0" applyBorder="1" applyProtection="1">
      <protection locked="0"/>
    </xf>
    <xf numFmtId="41" fontId="0" fillId="0" borderId="21" xfId="0" applyNumberFormat="1" applyBorder="1" applyProtection="1">
      <protection locked="0"/>
    </xf>
    <xf numFmtId="41" fontId="0" fillId="0" borderId="6" xfId="0" applyNumberFormat="1" applyBorder="1" applyProtection="1">
      <protection locked="0"/>
    </xf>
    <xf numFmtId="41" fontId="0" fillId="0" borderId="22" xfId="0" applyNumberFormat="1" applyBorder="1" applyProtection="1">
      <protection locked="0"/>
    </xf>
    <xf numFmtId="0" fontId="3" fillId="5" borderId="20" xfId="0" applyFont="1" applyFill="1" applyBorder="1" applyProtection="1">
      <protection locked="0"/>
    </xf>
    <xf numFmtId="41" fontId="3" fillId="5" borderId="21" xfId="0" applyNumberFormat="1" applyFont="1" applyFill="1" applyBorder="1" applyProtection="1">
      <protection locked="0"/>
    </xf>
    <xf numFmtId="41" fontId="3" fillId="5" borderId="6" xfId="0" applyNumberFormat="1" applyFont="1" applyFill="1" applyBorder="1" applyProtection="1">
      <protection locked="0"/>
    </xf>
    <xf numFmtId="41" fontId="3" fillId="5" borderId="22" xfId="0" applyNumberFormat="1" applyFont="1" applyFill="1" applyBorder="1" applyProtection="1">
      <protection locked="0"/>
    </xf>
    <xf numFmtId="0" fontId="0" fillId="6" borderId="20" xfId="0" applyFill="1" applyBorder="1" applyProtection="1">
      <protection locked="0"/>
    </xf>
    <xf numFmtId="41" fontId="0" fillId="6" borderId="22" xfId="0" applyNumberFormat="1" applyFill="1" applyBorder="1" applyProtection="1">
      <protection locked="0"/>
    </xf>
    <xf numFmtId="41" fontId="0" fillId="7" borderId="21" xfId="0" applyNumberFormat="1" applyFill="1" applyBorder="1" applyProtection="1">
      <protection locked="0"/>
    </xf>
    <xf numFmtId="41" fontId="0" fillId="6" borderId="21" xfId="0" applyNumberFormat="1" applyFill="1" applyBorder="1" applyProtection="1">
      <protection locked="0"/>
    </xf>
    <xf numFmtId="41" fontId="0" fillId="6" borderId="6" xfId="0" applyNumberFormat="1" applyFill="1" applyBorder="1" applyProtection="1">
      <protection locked="0"/>
    </xf>
    <xf numFmtId="0" fontId="3" fillId="6" borderId="20" xfId="0" applyFont="1" applyFill="1" applyBorder="1" applyProtection="1">
      <protection locked="0"/>
    </xf>
    <xf numFmtId="41" fontId="3" fillId="6" borderId="21" xfId="0" applyNumberFormat="1" applyFont="1" applyFill="1" applyBorder="1" applyProtection="1">
      <protection locked="0"/>
    </xf>
    <xf numFmtId="9" fontId="3" fillId="6" borderId="6" xfId="1" applyFont="1" applyFill="1" applyBorder="1" applyProtection="1">
      <protection locked="0"/>
    </xf>
    <xf numFmtId="41" fontId="3" fillId="6" borderId="22" xfId="0" applyNumberFormat="1" applyFont="1" applyFill="1" applyBorder="1" applyProtection="1">
      <protection locked="0"/>
    </xf>
    <xf numFmtId="0" fontId="0" fillId="0" borderId="4" xfId="0" applyBorder="1" applyProtection="1">
      <protection locked="0"/>
    </xf>
    <xf numFmtId="0" fontId="3" fillId="5" borderId="19" xfId="0" applyFont="1" applyFill="1" applyBorder="1" applyProtection="1">
      <protection locked="0"/>
    </xf>
    <xf numFmtId="41" fontId="3" fillId="7" borderId="23" xfId="0" applyNumberFormat="1" applyFont="1" applyFill="1" applyBorder="1" applyProtection="1">
      <protection locked="0"/>
    </xf>
    <xf numFmtId="41" fontId="3" fillId="7" borderId="24" xfId="0" applyNumberFormat="1" applyFont="1" applyFill="1" applyBorder="1" applyProtection="1">
      <protection locked="0"/>
    </xf>
    <xf numFmtId="41" fontId="3" fillId="7" borderId="25" xfId="0" applyNumberFormat="1" applyFont="1" applyFill="1" applyBorder="1" applyProtection="1">
      <protection locked="0"/>
    </xf>
    <xf numFmtId="0" fontId="3" fillId="8" borderId="20" xfId="0" applyFont="1" applyFill="1" applyBorder="1" applyProtection="1">
      <protection locked="0"/>
    </xf>
    <xf numFmtId="41" fontId="3" fillId="8" borderId="21" xfId="0" applyNumberFormat="1" applyFont="1" applyFill="1" applyBorder="1" applyProtection="1">
      <protection locked="0"/>
    </xf>
    <xf numFmtId="41" fontId="3" fillId="8" borderId="6" xfId="0" applyNumberFormat="1" applyFont="1" applyFill="1" applyBorder="1" applyProtection="1">
      <protection locked="0"/>
    </xf>
    <xf numFmtId="41" fontId="3" fillId="8" borderId="22" xfId="0" applyNumberFormat="1" applyFont="1" applyFill="1" applyBorder="1" applyProtection="1">
      <protection locked="0"/>
    </xf>
    <xf numFmtId="0" fontId="0" fillId="8" borderId="0" xfId="0" applyFill="1"/>
    <xf numFmtId="0" fontId="3" fillId="4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27" xfId="0" applyNumberFormat="1" applyBorder="1" applyProtection="1">
      <protection locked="0"/>
    </xf>
    <xf numFmtId="41" fontId="0" fillId="0" borderId="28" xfId="0" applyNumberFormat="1" applyBorder="1" applyProtection="1">
      <protection locked="0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3" fillId="10" borderId="19" xfId="0" applyFont="1" applyFill="1" applyBorder="1" applyAlignment="1">
      <alignment horizontal="center"/>
    </xf>
    <xf numFmtId="41" fontId="0" fillId="0" borderId="0" xfId="0" applyNumberFormat="1"/>
    <xf numFmtId="0" fontId="6" fillId="0" borderId="0" xfId="3" applyFont="1"/>
    <xf numFmtId="0" fontId="5" fillId="11" borderId="21" xfId="2" applyFont="1" applyFill="1" applyBorder="1" applyAlignment="1">
      <alignment horizontal="center" vertical="center" wrapText="1"/>
    </xf>
    <xf numFmtId="0" fontId="5" fillId="11" borderId="6" xfId="2" applyFont="1" applyFill="1" applyBorder="1" applyAlignment="1">
      <alignment horizontal="center" vertical="center" wrapText="1"/>
    </xf>
    <xf numFmtId="0" fontId="8" fillId="0" borderId="21" xfId="3" applyFont="1" applyBorder="1" applyAlignment="1">
      <alignment vertical="center"/>
    </xf>
    <xf numFmtId="1" fontId="8" fillId="0" borderId="6" xfId="3" applyNumberFormat="1" applyFont="1" applyBorder="1" applyAlignment="1">
      <alignment horizontal="center" vertical="center"/>
    </xf>
    <xf numFmtId="164" fontId="8" fillId="7" borderId="6" xfId="4" applyNumberFormat="1" applyFont="1" applyFill="1" applyBorder="1" applyAlignment="1">
      <alignment horizontal="center" vertical="center"/>
    </xf>
    <xf numFmtId="164" fontId="8" fillId="12" borderId="6" xfId="4" applyNumberFormat="1" applyFont="1" applyFill="1" applyBorder="1" applyAlignment="1">
      <alignment horizontal="center" vertical="center"/>
    </xf>
    <xf numFmtId="164" fontId="6" fillId="0" borderId="0" xfId="3" applyNumberFormat="1" applyFont="1"/>
    <xf numFmtId="0" fontId="7" fillId="9" borderId="4" xfId="2" applyFont="1" applyFill="1" applyBorder="1" applyAlignment="1">
      <alignment horizontal="center"/>
    </xf>
    <xf numFmtId="1" fontId="7" fillId="9" borderId="32" xfId="3" applyNumberFormat="1" applyFont="1" applyFill="1" applyBorder="1" applyAlignment="1">
      <alignment horizontal="center" vertical="center"/>
    </xf>
    <xf numFmtId="164" fontId="7" fillId="9" borderId="33" xfId="4" applyNumberFormat="1" applyFont="1" applyFill="1" applyBorder="1" applyAlignment="1">
      <alignment horizontal="center" vertical="center"/>
    </xf>
    <xf numFmtId="0" fontId="8" fillId="0" borderId="4" xfId="3" applyFont="1" applyBorder="1" applyAlignment="1">
      <alignment vertical="center"/>
    </xf>
    <xf numFmtId="1" fontId="8" fillId="0" borderId="0" xfId="3" applyNumberFormat="1" applyFont="1" applyBorder="1" applyAlignment="1">
      <alignment horizontal="center" vertical="center"/>
    </xf>
    <xf numFmtId="1" fontId="6" fillId="0" borderId="0" xfId="3" applyNumberFormat="1" applyFont="1" applyBorder="1"/>
    <xf numFmtId="0" fontId="7" fillId="9" borderId="23" xfId="2" applyFont="1" applyFill="1" applyBorder="1" applyAlignment="1">
      <alignment horizontal="center"/>
    </xf>
    <xf numFmtId="1" fontId="7" fillId="9" borderId="24" xfId="3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>
      <alignment vertical="center"/>
    </xf>
    <xf numFmtId="0" fontId="5" fillId="0" borderId="4" xfId="2" applyFont="1" applyFill="1" applyBorder="1" applyAlignment="1">
      <alignment horizontal="center"/>
    </xf>
    <xf numFmtId="1" fontId="5" fillId="0" borderId="0" xfId="3" applyNumberFormat="1" applyFont="1" applyFill="1" applyBorder="1" applyAlignment="1">
      <alignment horizontal="center" vertical="center"/>
    </xf>
    <xf numFmtId="164" fontId="5" fillId="0" borderId="0" xfId="4" applyNumberFormat="1" applyFont="1" applyFill="1" applyBorder="1" applyAlignment="1">
      <alignment horizontal="center" vertical="center"/>
    </xf>
    <xf numFmtId="0" fontId="6" fillId="0" borderId="0" xfId="3" applyFont="1" applyFill="1"/>
    <xf numFmtId="0" fontId="7" fillId="0" borderId="4" xfId="2" applyFont="1" applyFill="1" applyBorder="1" applyAlignment="1">
      <alignment horizontal="center"/>
    </xf>
    <xf numFmtId="1" fontId="7" fillId="0" borderId="0" xfId="3" applyNumberFormat="1" applyFont="1" applyFill="1" applyBorder="1" applyAlignment="1">
      <alignment horizontal="center" vertical="center"/>
    </xf>
    <xf numFmtId="164" fontId="7" fillId="0" borderId="0" xfId="4" applyNumberFormat="1" applyFont="1" applyFill="1" applyBorder="1" applyAlignment="1">
      <alignment horizontal="center" vertical="center"/>
    </xf>
    <xf numFmtId="0" fontId="3" fillId="0" borderId="0" xfId="0" applyFont="1"/>
    <xf numFmtId="0" fontId="3" fillId="5" borderId="0" xfId="0" applyFont="1" applyFill="1" applyBorder="1" applyProtection="1">
      <protection locked="0"/>
    </xf>
    <xf numFmtId="41" fontId="3" fillId="7" borderId="0" xfId="0" applyNumberFormat="1" applyFont="1" applyFill="1" applyBorder="1" applyProtection="1">
      <protection locked="0"/>
    </xf>
    <xf numFmtId="41" fontId="3" fillId="7" borderId="36" xfId="0" applyNumberFormat="1" applyFont="1" applyFill="1" applyBorder="1" applyAlignment="1" applyProtection="1">
      <alignment horizontal="center"/>
      <protection locked="0"/>
    </xf>
    <xf numFmtId="41" fontId="3" fillId="7" borderId="13" xfId="0" applyNumberFormat="1" applyFont="1" applyFill="1" applyBorder="1" applyAlignment="1" applyProtection="1">
      <alignment horizontal="center"/>
      <protection locked="0"/>
    </xf>
    <xf numFmtId="41" fontId="0" fillId="0" borderId="22" xfId="0" applyNumberFormat="1" applyBorder="1" applyAlignment="1" applyProtection="1">
      <alignment horizontal="center"/>
      <protection locked="0"/>
    </xf>
    <xf numFmtId="43" fontId="0" fillId="0" borderId="6" xfId="0" applyNumberFormat="1" applyBorder="1" applyProtection="1">
      <protection locked="0"/>
    </xf>
    <xf numFmtId="165" fontId="0" fillId="0" borderId="6" xfId="0" applyNumberFormat="1" applyBorder="1" applyProtection="1">
      <protection locked="0"/>
    </xf>
    <xf numFmtId="166" fontId="0" fillId="0" borderId="21" xfId="0" applyNumberFormat="1" applyBorder="1" applyProtection="1">
      <protection locked="0"/>
    </xf>
    <xf numFmtId="166" fontId="0" fillId="0" borderId="6" xfId="0" applyNumberFormat="1" applyFill="1" applyBorder="1" applyProtection="1">
      <protection locked="0"/>
    </xf>
    <xf numFmtId="41" fontId="0" fillId="0" borderId="6" xfId="0" applyNumberFormat="1" applyFill="1" applyBorder="1" applyProtection="1">
      <protection locked="0"/>
    </xf>
    <xf numFmtId="0" fontId="5" fillId="0" borderId="29" xfId="2" applyFont="1" applyFill="1" applyBorder="1" applyAlignment="1">
      <alignment horizontal="center" vertical="center"/>
    </xf>
    <xf numFmtId="0" fontId="5" fillId="0" borderId="30" xfId="2" applyFont="1" applyFill="1" applyBorder="1" applyAlignment="1">
      <alignment horizontal="center" vertical="center"/>
    </xf>
    <xf numFmtId="0" fontId="5" fillId="0" borderId="31" xfId="2" applyFont="1" applyFill="1" applyBorder="1" applyAlignment="1">
      <alignment horizontal="center" vertical="center"/>
    </xf>
    <xf numFmtId="0" fontId="7" fillId="9" borderId="21" xfId="3" applyFont="1" applyFill="1" applyBorder="1" applyAlignment="1">
      <alignment horizontal="center" vertical="center" wrapText="1"/>
    </xf>
    <xf numFmtId="0" fontId="7" fillId="9" borderId="6" xfId="3" applyFont="1" applyFill="1" applyBorder="1" applyAlignment="1">
      <alignment horizontal="center" vertical="center" wrapText="1"/>
    </xf>
    <xf numFmtId="0" fontId="5" fillId="11" borderId="21" xfId="2" applyFont="1" applyFill="1" applyBorder="1" applyAlignment="1">
      <alignment horizontal="center" vertical="center"/>
    </xf>
    <xf numFmtId="0" fontId="5" fillId="11" borderId="6" xfId="2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/>
    </xf>
    <xf numFmtId="0" fontId="3" fillId="10" borderId="18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10" borderId="2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41" fontId="3" fillId="7" borderId="23" xfId="0" applyNumberFormat="1" applyFont="1" applyFill="1" applyBorder="1" applyAlignment="1" applyProtection="1">
      <protection locked="0"/>
    </xf>
    <xf numFmtId="41" fontId="3" fillId="7" borderId="36" xfId="0" applyNumberFormat="1" applyFont="1" applyFill="1" applyBorder="1" applyAlignment="1" applyProtection="1">
      <protection locked="0"/>
    </xf>
    <xf numFmtId="41" fontId="3" fillId="7" borderId="13" xfId="0" applyNumberFormat="1" applyFont="1" applyFill="1" applyBorder="1" applyAlignment="1" applyProtection="1">
      <protection locked="0"/>
    </xf>
    <xf numFmtId="41" fontId="3" fillId="8" borderId="37" xfId="0" applyNumberFormat="1" applyFont="1" applyFill="1" applyBorder="1" applyAlignment="1"/>
    <xf numFmtId="0" fontId="5" fillId="13" borderId="21" xfId="3" applyFont="1" applyFill="1" applyBorder="1" applyAlignment="1">
      <alignment horizontal="center" vertical="center" wrapText="1"/>
    </xf>
    <xf numFmtId="0" fontId="5" fillId="13" borderId="6" xfId="3" applyFont="1" applyFill="1" applyBorder="1" applyAlignment="1">
      <alignment horizontal="center" vertical="center" wrapText="1"/>
    </xf>
    <xf numFmtId="0" fontId="5" fillId="10" borderId="21" xfId="2" applyFont="1" applyFill="1" applyBorder="1" applyAlignment="1">
      <alignment horizontal="center" vertical="center" wrapText="1"/>
    </xf>
    <xf numFmtId="0" fontId="5" fillId="10" borderId="6" xfId="2" applyFont="1" applyFill="1" applyBorder="1" applyAlignment="1">
      <alignment horizontal="center" vertical="center" wrapText="1"/>
    </xf>
    <xf numFmtId="0" fontId="8" fillId="0" borderId="21" xfId="3" applyFont="1" applyBorder="1" applyAlignment="1">
      <alignment horizontal="center" vertical="center"/>
    </xf>
    <xf numFmtId="0" fontId="5" fillId="13" borderId="22" xfId="3" applyFont="1" applyFill="1" applyBorder="1" applyAlignment="1">
      <alignment horizontal="center" vertical="center" wrapText="1"/>
    </xf>
    <xf numFmtId="0" fontId="7" fillId="9" borderId="36" xfId="2" applyFont="1" applyFill="1" applyBorder="1" applyAlignment="1">
      <alignment horizontal="center"/>
    </xf>
    <xf numFmtId="0" fontId="5" fillId="0" borderId="38" xfId="2" applyFont="1" applyFill="1" applyBorder="1" applyAlignment="1">
      <alignment horizontal="center" vertical="center"/>
    </xf>
    <xf numFmtId="0" fontId="5" fillId="13" borderId="39" xfId="3" applyFont="1" applyFill="1" applyBorder="1" applyAlignment="1">
      <alignment horizontal="center" vertical="center" wrapText="1"/>
    </xf>
    <xf numFmtId="0" fontId="2" fillId="0" borderId="20" xfId="0" applyFont="1" applyBorder="1" applyProtection="1">
      <protection locked="0"/>
    </xf>
    <xf numFmtId="0" fontId="3" fillId="13" borderId="19" xfId="0" applyFont="1" applyFill="1" applyBorder="1" applyAlignment="1">
      <alignment horizontal="center"/>
    </xf>
    <xf numFmtId="0" fontId="3" fillId="13" borderId="26" xfId="0" applyFont="1" applyFill="1" applyBorder="1" applyAlignment="1">
      <alignment horizontal="center"/>
    </xf>
    <xf numFmtId="0" fontId="3" fillId="13" borderId="17" xfId="0" applyFont="1" applyFill="1" applyBorder="1" applyAlignment="1">
      <alignment horizontal="center"/>
    </xf>
    <xf numFmtId="0" fontId="3" fillId="13" borderId="16" xfId="0" applyFont="1" applyFill="1" applyBorder="1" applyAlignment="1">
      <alignment horizontal="center"/>
    </xf>
    <xf numFmtId="0" fontId="3" fillId="13" borderId="18" xfId="0" applyFont="1" applyFill="1" applyBorder="1" applyAlignment="1">
      <alignment horizontal="center"/>
    </xf>
    <xf numFmtId="0" fontId="3" fillId="13" borderId="37" xfId="0" applyFont="1" applyFill="1" applyBorder="1" applyAlignment="1"/>
    <xf numFmtId="0" fontId="3" fillId="13" borderId="37" xfId="0" applyFont="1" applyFill="1" applyBorder="1" applyAlignment="1">
      <alignment horizontal="center"/>
    </xf>
    <xf numFmtId="0" fontId="3" fillId="13" borderId="35" xfId="0" applyFont="1" applyFill="1" applyBorder="1" applyAlignment="1">
      <alignment horizontal="center"/>
    </xf>
    <xf numFmtId="0" fontId="3" fillId="13" borderId="20" xfId="0" applyFont="1" applyFill="1" applyBorder="1" applyProtection="1">
      <protection locked="0"/>
    </xf>
    <xf numFmtId="41" fontId="3" fillId="13" borderId="21" xfId="0" applyNumberFormat="1" applyFont="1" applyFill="1" applyBorder="1" applyProtection="1">
      <protection locked="0"/>
    </xf>
    <xf numFmtId="41" fontId="3" fillId="13" borderId="6" xfId="0" applyNumberFormat="1" applyFont="1" applyFill="1" applyBorder="1" applyProtection="1">
      <protection locked="0"/>
    </xf>
    <xf numFmtId="41" fontId="3" fillId="13" borderId="22" xfId="0" applyNumberFormat="1" applyFont="1" applyFill="1" applyBorder="1" applyProtection="1">
      <protection locked="0"/>
    </xf>
    <xf numFmtId="41" fontId="0" fillId="13" borderId="21" xfId="0" applyNumberFormat="1" applyFill="1" applyBorder="1" applyProtection="1">
      <protection locked="0"/>
    </xf>
    <xf numFmtId="41" fontId="3" fillId="15" borderId="21" xfId="0" applyNumberFormat="1" applyFont="1" applyFill="1" applyBorder="1" applyProtection="1">
      <protection locked="0"/>
    </xf>
    <xf numFmtId="43" fontId="8" fillId="7" borderId="6" xfId="4" applyNumberFormat="1" applyFont="1" applyFill="1" applyBorder="1" applyAlignment="1">
      <alignment horizontal="center" vertical="center"/>
    </xf>
    <xf numFmtId="164" fontId="8" fillId="7" borderId="39" xfId="4" applyNumberFormat="1" applyFont="1" applyFill="1" applyBorder="1" applyAlignment="1">
      <alignment horizontal="center" vertical="center"/>
    </xf>
    <xf numFmtId="164" fontId="8" fillId="7" borderId="22" xfId="4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15" borderId="20" xfId="0" applyFont="1" applyFill="1" applyBorder="1" applyProtection="1">
      <protection locked="0"/>
    </xf>
    <xf numFmtId="0" fontId="6" fillId="15" borderId="0" xfId="3" applyFont="1" applyFill="1"/>
    <xf numFmtId="41" fontId="0" fillId="7" borderId="6" xfId="0" applyNumberFormat="1" applyFill="1" applyBorder="1" applyProtection="1">
      <protection locked="0"/>
    </xf>
    <xf numFmtId="0" fontId="3" fillId="14" borderId="20" xfId="0" applyFont="1" applyFill="1" applyBorder="1" applyProtection="1">
      <protection locked="0"/>
    </xf>
    <xf numFmtId="41" fontId="3" fillId="14" borderId="21" xfId="0" applyNumberFormat="1" applyFont="1" applyFill="1" applyBorder="1" applyProtection="1">
      <protection locked="0"/>
    </xf>
    <xf numFmtId="9" fontId="3" fillId="14" borderId="6" xfId="1" applyFont="1" applyFill="1" applyBorder="1" applyProtection="1">
      <protection locked="0"/>
    </xf>
    <xf numFmtId="41" fontId="3" fillId="14" borderId="22" xfId="0" applyNumberFormat="1" applyFont="1" applyFill="1" applyBorder="1" applyProtection="1">
      <protection locked="0"/>
    </xf>
    <xf numFmtId="41" fontId="3" fillId="14" borderId="6" xfId="0" applyNumberFormat="1" applyFont="1" applyFill="1" applyBorder="1" applyProtection="1">
      <protection locked="0"/>
    </xf>
    <xf numFmtId="9" fontId="3" fillId="15" borderId="6" xfId="1" applyFont="1" applyFill="1" applyBorder="1" applyProtection="1">
      <protection locked="0"/>
    </xf>
    <xf numFmtId="41" fontId="0" fillId="15" borderId="21" xfId="0" applyNumberFormat="1" applyFill="1" applyBorder="1" applyProtection="1">
      <protection locked="0"/>
    </xf>
    <xf numFmtId="0" fontId="0" fillId="15" borderId="20" xfId="0" applyFill="1" applyBorder="1" applyProtection="1">
      <protection locked="0"/>
    </xf>
    <xf numFmtId="41" fontId="0" fillId="15" borderId="6" xfId="0" applyNumberFormat="1" applyFill="1" applyBorder="1" applyProtection="1">
      <protection locked="0"/>
    </xf>
    <xf numFmtId="166" fontId="3" fillId="14" borderId="6" xfId="0" applyNumberFormat="1" applyFont="1" applyFill="1" applyBorder="1" applyProtection="1">
      <protection locked="0"/>
    </xf>
    <xf numFmtId="43" fontId="3" fillId="14" borderId="21" xfId="0" applyNumberFormat="1" applyFont="1" applyFill="1" applyBorder="1" applyProtection="1">
      <protection locked="0"/>
    </xf>
    <xf numFmtId="43" fontId="3" fillId="14" borderId="6" xfId="0" applyNumberFormat="1" applyFont="1" applyFill="1" applyBorder="1" applyProtection="1">
      <protection locked="0"/>
    </xf>
    <xf numFmtId="0" fontId="3" fillId="15" borderId="19" xfId="0" applyFont="1" applyFill="1" applyBorder="1" applyProtection="1">
      <protection locked="0"/>
    </xf>
    <xf numFmtId="41" fontId="3" fillId="15" borderId="37" xfId="0" applyNumberFormat="1" applyFont="1" applyFill="1" applyBorder="1" applyAlignment="1">
      <alignment horizontal="center"/>
    </xf>
    <xf numFmtId="41" fontId="3" fillId="15" borderId="34" xfId="0" applyNumberFormat="1" applyFont="1" applyFill="1" applyBorder="1" applyAlignment="1">
      <alignment horizontal="center"/>
    </xf>
    <xf numFmtId="41" fontId="3" fillId="15" borderId="35" xfId="0" applyNumberFormat="1" applyFont="1" applyFill="1" applyBorder="1" applyAlignment="1">
      <alignment horizontal="center"/>
    </xf>
    <xf numFmtId="0" fontId="3" fillId="15" borderId="0" xfId="0" applyFont="1" applyFill="1"/>
    <xf numFmtId="41" fontId="3" fillId="15" borderId="34" xfId="0" applyNumberFormat="1" applyFont="1" applyFill="1" applyBorder="1" applyAlignment="1"/>
    <xf numFmtId="41" fontId="3" fillId="15" borderId="37" xfId="0" applyNumberFormat="1" applyFont="1" applyFill="1" applyBorder="1" applyAlignment="1"/>
    <xf numFmtId="0" fontId="12" fillId="16" borderId="20" xfId="0" applyFont="1" applyFill="1" applyBorder="1" applyProtection="1">
      <protection locked="0"/>
    </xf>
    <xf numFmtId="41" fontId="12" fillId="16" borderId="21" xfId="0" applyNumberFormat="1" applyFont="1" applyFill="1" applyBorder="1" applyProtection="1">
      <protection locked="0"/>
    </xf>
    <xf numFmtId="41" fontId="12" fillId="16" borderId="6" xfId="0" applyNumberFormat="1" applyFont="1" applyFill="1" applyBorder="1" applyProtection="1">
      <protection locked="0"/>
    </xf>
    <xf numFmtId="41" fontId="12" fillId="16" borderId="22" xfId="0" applyNumberFormat="1" applyFont="1" applyFill="1" applyBorder="1" applyProtection="1">
      <protection locked="0"/>
    </xf>
    <xf numFmtId="41" fontId="0" fillId="16" borderId="21" xfId="0" applyNumberFormat="1" applyFill="1" applyBorder="1" applyProtection="1">
      <protection locked="0"/>
    </xf>
    <xf numFmtId="41" fontId="3" fillId="16" borderId="6" xfId="0" applyNumberFormat="1" applyFont="1" applyFill="1" applyBorder="1" applyProtection="1">
      <protection locked="0"/>
    </xf>
    <xf numFmtId="41" fontId="3" fillId="16" borderId="21" xfId="0" applyNumberFormat="1" applyFont="1" applyFill="1" applyBorder="1" applyProtection="1">
      <protection locked="0"/>
    </xf>
    <xf numFmtId="0" fontId="3" fillId="16" borderId="20" xfId="0" applyFont="1" applyFill="1" applyBorder="1" applyProtection="1">
      <protection locked="0"/>
    </xf>
  </cellXfs>
  <cellStyles count="6">
    <cellStyle name="Comma 2" xfId="4"/>
    <cellStyle name="Normal" xfId="0" builtinId="0"/>
    <cellStyle name="Normal 2" xfId="3"/>
    <cellStyle name="Percent" xfId="1" builtinId="5"/>
    <cellStyle name="Percent 2" xfId="5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H48"/>
  <sheetViews>
    <sheetView showGridLines="0" zoomScale="85" zoomScaleNormal="85" workbookViewId="0">
      <selection activeCell="E43" sqref="E43"/>
    </sheetView>
  </sheetViews>
  <sheetFormatPr defaultColWidth="8.88671875" defaultRowHeight="13.2" x14ac:dyDescent="0.25"/>
  <cols>
    <col min="1" max="1" width="8.88671875" style="44"/>
    <col min="2" max="2" width="46" style="44" customWidth="1"/>
    <col min="3" max="3" width="12.44140625" style="44" customWidth="1"/>
    <col min="4" max="6" width="10.88671875" style="44" customWidth="1"/>
    <col min="7" max="7" width="24.5546875" style="44" customWidth="1"/>
    <col min="8" max="16384" width="8.88671875" style="44"/>
  </cols>
  <sheetData>
    <row r="1" spans="2:8" ht="13.8" thickBot="1" x14ac:dyDescent="0.3"/>
    <row r="2" spans="2:8" x14ac:dyDescent="0.25">
      <c r="B2" s="79" t="s">
        <v>76</v>
      </c>
      <c r="C2" s="80"/>
      <c r="D2" s="80"/>
      <c r="E2" s="80"/>
      <c r="F2" s="80"/>
      <c r="G2" s="80"/>
    </row>
    <row r="3" spans="2:8" ht="16.350000000000001" customHeight="1" x14ac:dyDescent="0.25">
      <c r="B3" s="108" t="s">
        <v>58</v>
      </c>
      <c r="C3" s="109"/>
      <c r="D3" s="109"/>
      <c r="E3" s="109"/>
      <c r="F3" s="109"/>
      <c r="G3" s="109"/>
    </row>
    <row r="4" spans="2:8" ht="39.6" x14ac:dyDescent="0.25">
      <c r="B4" s="110" t="s">
        <v>59</v>
      </c>
      <c r="C4" s="111" t="s">
        <v>42</v>
      </c>
      <c r="D4" s="111" t="s">
        <v>88</v>
      </c>
      <c r="E4" s="111" t="s">
        <v>74</v>
      </c>
      <c r="F4" s="111" t="s">
        <v>89</v>
      </c>
      <c r="G4" s="111" t="s">
        <v>87</v>
      </c>
    </row>
    <row r="5" spans="2:8" x14ac:dyDescent="0.25">
      <c r="B5" s="112" t="s">
        <v>85</v>
      </c>
      <c r="C5" s="48">
        <v>19</v>
      </c>
      <c r="D5" s="49">
        <f>'150 ORR'!H29</f>
        <v>34350.859392665203</v>
      </c>
      <c r="E5" s="49">
        <v>1200</v>
      </c>
      <c r="F5" s="49">
        <f>E5+D5</f>
        <v>35550.859392665203</v>
      </c>
      <c r="G5" s="132">
        <f>F5*C5</f>
        <v>675466.32846063888</v>
      </c>
    </row>
    <row r="6" spans="2:8" x14ac:dyDescent="0.25">
      <c r="B6" s="112" t="s">
        <v>84</v>
      </c>
      <c r="C6" s="48">
        <v>138</v>
      </c>
      <c r="D6" s="49">
        <f>'150 ORR'!J29</f>
        <v>24345.285089057081</v>
      </c>
      <c r="E6" s="49">
        <v>1200</v>
      </c>
      <c r="F6" s="49">
        <f t="shared" ref="F6:F13" si="0">E6+D6</f>
        <v>25545.285089057081</v>
      </c>
      <c r="G6" s="132">
        <f t="shared" ref="G6:G13" si="1">F6*C6</f>
        <v>3525249.3422898771</v>
      </c>
      <c r="H6" s="51"/>
    </row>
    <row r="7" spans="2:8" x14ac:dyDescent="0.25">
      <c r="B7" s="112" t="s">
        <v>63</v>
      </c>
      <c r="C7" s="48">
        <v>3</v>
      </c>
      <c r="D7" s="49">
        <f>'150 ORR'!H29</f>
        <v>34350.859392665203</v>
      </c>
      <c r="E7" s="49">
        <v>1200</v>
      </c>
      <c r="F7" s="49">
        <f t="shared" si="0"/>
        <v>35550.859392665203</v>
      </c>
      <c r="G7" s="132">
        <f t="shared" si="1"/>
        <v>106652.5781779956</v>
      </c>
    </row>
    <row r="8" spans="2:8" x14ac:dyDescent="0.25">
      <c r="B8" s="112" t="s">
        <v>83</v>
      </c>
      <c r="C8" s="48">
        <v>8</v>
      </c>
      <c r="D8" s="49">
        <f>'150 ORR'!S29</f>
        <v>28942.285188677459</v>
      </c>
      <c r="E8" s="49">
        <v>1200</v>
      </c>
      <c r="F8" s="49">
        <f t="shared" si="0"/>
        <v>30142.285188677459</v>
      </c>
      <c r="G8" s="132">
        <f t="shared" si="1"/>
        <v>241138.28150941967</v>
      </c>
    </row>
    <row r="9" spans="2:8" x14ac:dyDescent="0.25">
      <c r="B9" s="112" t="s">
        <v>64</v>
      </c>
      <c r="C9" s="48">
        <v>1</v>
      </c>
      <c r="D9" s="49">
        <f>'150 ORR'!H29</f>
        <v>34350.859392665203</v>
      </c>
      <c r="E9" s="49">
        <v>1200</v>
      </c>
      <c r="F9" s="49">
        <f t="shared" si="0"/>
        <v>35550.859392665203</v>
      </c>
      <c r="G9" s="132">
        <f t="shared" si="1"/>
        <v>35550.859392665203</v>
      </c>
    </row>
    <row r="10" spans="2:8" x14ac:dyDescent="0.25">
      <c r="B10" s="112" t="s">
        <v>65</v>
      </c>
      <c r="C10" s="48">
        <v>3</v>
      </c>
      <c r="D10" s="49">
        <f>'150 ORR'!J29</f>
        <v>24345.285089057081</v>
      </c>
      <c r="E10" s="49">
        <v>1200</v>
      </c>
      <c r="F10" s="49">
        <f t="shared" si="0"/>
        <v>25545.285089057081</v>
      </c>
      <c r="G10" s="132">
        <f t="shared" si="1"/>
        <v>76635.855267171239</v>
      </c>
    </row>
    <row r="11" spans="2:8" x14ac:dyDescent="0.25">
      <c r="B11" s="112" t="s">
        <v>53</v>
      </c>
      <c r="C11" s="48">
        <v>2</v>
      </c>
      <c r="D11" s="49">
        <f>'150 ORR'!O29</f>
        <v>35432.825370496532</v>
      </c>
      <c r="E11" s="49">
        <v>1200</v>
      </c>
      <c r="F11" s="49">
        <f t="shared" si="0"/>
        <v>36632.825370496532</v>
      </c>
      <c r="G11" s="132">
        <f t="shared" si="1"/>
        <v>73265.650740993064</v>
      </c>
    </row>
    <row r="12" spans="2:8" x14ac:dyDescent="0.25">
      <c r="B12" s="112" t="s">
        <v>52</v>
      </c>
      <c r="C12" s="48">
        <v>2</v>
      </c>
      <c r="D12" s="49">
        <f>'150 ORR'!L29</f>
        <v>25329.643052286847</v>
      </c>
      <c r="E12" s="49">
        <v>1200</v>
      </c>
      <c r="F12" s="49">
        <f t="shared" si="0"/>
        <v>26529.643052286847</v>
      </c>
      <c r="G12" s="132">
        <f t="shared" si="1"/>
        <v>53059.286104573694</v>
      </c>
    </row>
    <row r="13" spans="2:8" x14ac:dyDescent="0.25">
      <c r="B13" s="112" t="s">
        <v>71</v>
      </c>
      <c r="C13" s="48">
        <v>2</v>
      </c>
      <c r="D13" s="49">
        <f>'150 ORR'!J29</f>
        <v>24345.285089057081</v>
      </c>
      <c r="E13" s="49">
        <v>1200</v>
      </c>
      <c r="F13" s="49">
        <f t="shared" si="0"/>
        <v>25545.285089057081</v>
      </c>
      <c r="G13" s="132">
        <f t="shared" si="1"/>
        <v>51090.570178114162</v>
      </c>
    </row>
    <row r="14" spans="2:8" ht="13.8" thickBot="1" x14ac:dyDescent="0.3">
      <c r="B14" s="52" t="s">
        <v>66</v>
      </c>
      <c r="C14" s="53">
        <f>SUM(C5:C13)</f>
        <v>178</v>
      </c>
      <c r="D14" s="54">
        <f>SUM(D5:D13)</f>
        <v>265793.18705662771</v>
      </c>
      <c r="E14" s="54"/>
      <c r="F14" s="54"/>
      <c r="G14" s="54">
        <f>SUM(G5:G13)</f>
        <v>4838108.7521214485</v>
      </c>
    </row>
    <row r="15" spans="2:8" s="64" customFormat="1" hidden="1" x14ac:dyDescent="0.25">
      <c r="B15" s="61"/>
      <c r="C15" s="62"/>
      <c r="D15" s="63"/>
      <c r="E15" s="63"/>
      <c r="F15" s="63"/>
      <c r="G15" s="63"/>
    </row>
    <row r="16" spans="2:8" hidden="1" x14ac:dyDescent="0.25">
      <c r="B16" s="55"/>
      <c r="C16" s="56"/>
      <c r="D16" s="57"/>
      <c r="E16" s="57"/>
      <c r="F16" s="57"/>
      <c r="G16" s="57"/>
    </row>
    <row r="17" spans="2:8" hidden="1" x14ac:dyDescent="0.25">
      <c r="B17" s="79" t="s">
        <v>77</v>
      </c>
      <c r="C17" s="80"/>
      <c r="D17" s="80"/>
      <c r="E17" s="80"/>
      <c r="F17" s="80"/>
      <c r="G17" s="80"/>
    </row>
    <row r="18" spans="2:8" ht="16.350000000000001" hidden="1" customHeight="1" x14ac:dyDescent="0.25">
      <c r="B18" s="108" t="s">
        <v>58</v>
      </c>
      <c r="C18" s="109"/>
      <c r="D18" s="109"/>
      <c r="E18" s="109"/>
      <c r="F18" s="109"/>
      <c r="G18" s="109"/>
    </row>
    <row r="19" spans="2:8" ht="26.4" hidden="1" x14ac:dyDescent="0.25">
      <c r="B19" s="45" t="s">
        <v>59</v>
      </c>
      <c r="C19" s="46" t="s">
        <v>42</v>
      </c>
      <c r="D19" s="46" t="s">
        <v>60</v>
      </c>
      <c r="E19" s="46"/>
      <c r="F19" s="46"/>
      <c r="G19" s="46" t="s">
        <v>61</v>
      </c>
    </row>
    <row r="20" spans="2:8" hidden="1" x14ac:dyDescent="0.25">
      <c r="B20" s="47" t="s">
        <v>56</v>
      </c>
      <c r="C20" s="48">
        <v>1</v>
      </c>
      <c r="D20" s="50">
        <f>SUNRIVER!H32</f>
        <v>32342.952044608468</v>
      </c>
      <c r="E20" s="50"/>
      <c r="F20" s="50"/>
      <c r="G20" s="50">
        <f>D20*C20</f>
        <v>32342.952044608468</v>
      </c>
    </row>
    <row r="21" spans="2:8" hidden="1" x14ac:dyDescent="0.25">
      <c r="B21" s="47" t="s">
        <v>62</v>
      </c>
      <c r="C21" s="48">
        <v>3</v>
      </c>
      <c r="D21" s="50">
        <f>SUNRIVER!K32</f>
        <v>24345.285089057081</v>
      </c>
      <c r="E21" s="50"/>
      <c r="F21" s="50"/>
      <c r="G21" s="50">
        <f>D21*C21</f>
        <v>73035.855267171239</v>
      </c>
      <c r="H21" s="51"/>
    </row>
    <row r="22" spans="2:8" ht="13.8" hidden="1" thickBot="1" x14ac:dyDescent="0.3">
      <c r="B22" s="52" t="s">
        <v>66</v>
      </c>
      <c r="C22" s="53">
        <f t="shared" ref="C22:G22" si="2">SUM(C20:C21)</f>
        <v>4</v>
      </c>
      <c r="D22" s="54">
        <f t="shared" si="2"/>
        <v>56688.237133665549</v>
      </c>
      <c r="E22" s="54"/>
      <c r="F22" s="54"/>
      <c r="G22" s="54">
        <f t="shared" si="2"/>
        <v>105378.8073117797</v>
      </c>
    </row>
    <row r="23" spans="2:8" s="64" customFormat="1" hidden="1" x14ac:dyDescent="0.25">
      <c r="B23" s="65"/>
      <c r="C23" s="66"/>
      <c r="D23" s="67"/>
      <c r="E23" s="67"/>
      <c r="F23" s="67"/>
      <c r="G23" s="67"/>
    </row>
    <row r="24" spans="2:8" hidden="1" x14ac:dyDescent="0.25">
      <c r="B24" s="55"/>
      <c r="C24" s="56"/>
      <c r="D24" s="57"/>
      <c r="E24" s="57"/>
      <c r="F24" s="57"/>
      <c r="G24" s="57"/>
    </row>
    <row r="25" spans="2:8" hidden="1" x14ac:dyDescent="0.25">
      <c r="B25" s="84" t="s">
        <v>70</v>
      </c>
      <c r="C25" s="85"/>
      <c r="D25" s="85"/>
      <c r="E25" s="85"/>
      <c r="F25" s="85"/>
      <c r="G25" s="85"/>
    </row>
    <row r="26" spans="2:8" ht="13.35" hidden="1" customHeight="1" x14ac:dyDescent="0.25">
      <c r="B26" s="82" t="s">
        <v>67</v>
      </c>
      <c r="C26" s="83"/>
      <c r="D26" s="83"/>
      <c r="E26" s="83"/>
      <c r="F26" s="83"/>
      <c r="G26" s="83"/>
    </row>
    <row r="27" spans="2:8" ht="26.4" hidden="1" x14ac:dyDescent="0.25">
      <c r="B27" s="45" t="s">
        <v>59</v>
      </c>
      <c r="C27" s="46" t="s">
        <v>42</v>
      </c>
      <c r="D27" s="46" t="s">
        <v>60</v>
      </c>
      <c r="E27" s="46"/>
      <c r="F27" s="46"/>
      <c r="G27" s="46" t="s">
        <v>61</v>
      </c>
    </row>
    <row r="28" spans="2:8" hidden="1" x14ac:dyDescent="0.25">
      <c r="B28" s="47" t="s">
        <v>68</v>
      </c>
      <c r="C28" s="48">
        <v>2</v>
      </c>
      <c r="D28" s="50" t="e">
        <f>'150 ORR'!#REF!</f>
        <v>#REF!</v>
      </c>
      <c r="E28" s="50"/>
      <c r="F28" s="50"/>
      <c r="G28" s="50" t="e">
        <f>D28*C28</f>
        <v>#REF!</v>
      </c>
    </row>
    <row r="29" spans="2:8" hidden="1" x14ac:dyDescent="0.25">
      <c r="B29" s="47" t="s">
        <v>69</v>
      </c>
      <c r="C29" s="48">
        <v>8</v>
      </c>
      <c r="D29" s="50" t="e">
        <f>'150 ORR'!#REF!</f>
        <v>#REF!</v>
      </c>
      <c r="E29" s="50"/>
      <c r="F29" s="50"/>
      <c r="G29" s="50" t="e">
        <f>D29*C29</f>
        <v>#REF!</v>
      </c>
    </row>
    <row r="30" spans="2:8" hidden="1" x14ac:dyDescent="0.25">
      <c r="B30" s="47" t="s">
        <v>62</v>
      </c>
      <c r="C30" s="48">
        <v>26</v>
      </c>
      <c r="D30" s="50" t="e">
        <f>'150 ORR'!#REF!</f>
        <v>#REF!</v>
      </c>
      <c r="E30" s="50"/>
      <c r="F30" s="50"/>
      <c r="G30" s="50" t="e">
        <f>D30*C30</f>
        <v>#REF!</v>
      </c>
    </row>
    <row r="31" spans="2:8" ht="13.8" hidden="1" thickBot="1" x14ac:dyDescent="0.3">
      <c r="B31" s="58" t="s">
        <v>66</v>
      </c>
      <c r="C31" s="59">
        <f t="shared" ref="C31" si="3">SUM(C28:C30)</f>
        <v>36</v>
      </c>
      <c r="D31" s="54" t="e">
        <f>SUM(D28:D30)</f>
        <v>#REF!</v>
      </c>
      <c r="E31" s="54"/>
      <c r="F31" s="54"/>
      <c r="G31" s="54" t="e">
        <f>SUM(G28:G30)</f>
        <v>#REF!</v>
      </c>
    </row>
    <row r="32" spans="2:8" hidden="1" x14ac:dyDescent="0.25"/>
    <row r="33" spans="2:7" x14ac:dyDescent="0.25">
      <c r="B33" s="60"/>
    </row>
    <row r="34" spans="2:7" ht="13.8" thickBot="1" x14ac:dyDescent="0.3"/>
    <row r="35" spans="2:7" x14ac:dyDescent="0.25">
      <c r="B35" s="79" t="s">
        <v>77</v>
      </c>
      <c r="C35" s="80"/>
      <c r="D35" s="80"/>
      <c r="E35" s="115"/>
      <c r="F35" s="115"/>
      <c r="G35" s="81"/>
    </row>
    <row r="36" spans="2:7" x14ac:dyDescent="0.25">
      <c r="B36" s="108" t="s">
        <v>58</v>
      </c>
      <c r="C36" s="109"/>
      <c r="D36" s="109"/>
      <c r="E36" s="116"/>
      <c r="F36" s="116"/>
      <c r="G36" s="113"/>
    </row>
    <row r="37" spans="2:7" ht="39.6" x14ac:dyDescent="0.25">
      <c r="B37" s="110" t="s">
        <v>59</v>
      </c>
      <c r="C37" s="110" t="s">
        <v>42</v>
      </c>
      <c r="D37" s="111" t="s">
        <v>86</v>
      </c>
      <c r="E37" s="111" t="s">
        <v>74</v>
      </c>
      <c r="F37" s="111" t="s">
        <v>89</v>
      </c>
      <c r="G37" s="111" t="s">
        <v>87</v>
      </c>
    </row>
    <row r="38" spans="2:7" x14ac:dyDescent="0.25">
      <c r="B38" s="47" t="s">
        <v>56</v>
      </c>
      <c r="C38" s="48">
        <v>1</v>
      </c>
      <c r="D38" s="49">
        <f>'SUNRIVER '!H30</f>
        <v>32342.952044608468</v>
      </c>
      <c r="E38" s="133">
        <v>0</v>
      </c>
      <c r="F38" s="133">
        <f>D38</f>
        <v>32342.952044608468</v>
      </c>
      <c r="G38" s="134">
        <f>D38*C38</f>
        <v>32342.952044608468</v>
      </c>
    </row>
    <row r="39" spans="2:7" x14ac:dyDescent="0.25">
      <c r="B39" s="47" t="s">
        <v>62</v>
      </c>
      <c r="C39" s="48">
        <v>3</v>
      </c>
      <c r="D39" s="49">
        <f>'SUNRIVER '!J30</f>
        <v>24345.285089057081</v>
      </c>
      <c r="E39" s="133">
        <v>0</v>
      </c>
      <c r="F39" s="133">
        <f>D39</f>
        <v>24345.285089057081</v>
      </c>
      <c r="G39" s="134">
        <f>D39*C39</f>
        <v>73035.855267171239</v>
      </c>
    </row>
    <row r="40" spans="2:7" ht="13.8" thickBot="1" x14ac:dyDescent="0.3">
      <c r="B40" s="114" t="s">
        <v>66</v>
      </c>
      <c r="C40" s="53">
        <f t="shared" ref="C40:G40" si="4">SUM(C38:C39)</f>
        <v>4</v>
      </c>
      <c r="D40" s="54">
        <f t="shared" si="4"/>
        <v>56688.237133665549</v>
      </c>
      <c r="E40" s="54"/>
      <c r="F40" s="54"/>
      <c r="G40" s="54">
        <f t="shared" si="4"/>
        <v>105378.8073117797</v>
      </c>
    </row>
    <row r="48" spans="2:7" x14ac:dyDescent="0.25">
      <c r="B48" s="137"/>
    </row>
  </sheetData>
  <mergeCells count="8">
    <mergeCell ref="B35:G35"/>
    <mergeCell ref="B36:G36"/>
    <mergeCell ref="B2:G2"/>
    <mergeCell ref="B3:G3"/>
    <mergeCell ref="B25:G25"/>
    <mergeCell ref="B26:G26"/>
    <mergeCell ref="B17:G17"/>
    <mergeCell ref="B18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U36"/>
  <sheetViews>
    <sheetView showGridLines="0" topLeftCell="F1" zoomScale="70" zoomScaleNormal="70" workbookViewId="0">
      <pane xSplit="1" ySplit="8" topLeftCell="G9" activePane="bottomRight" state="frozen"/>
      <selection activeCell="F1" sqref="F1"/>
      <selection pane="topRight" activeCell="G1" sqref="G1"/>
      <selection pane="bottomLeft" activeCell="F11" sqref="F11"/>
      <selection pane="bottomRight" activeCell="J47" sqref="J47"/>
    </sheetView>
  </sheetViews>
  <sheetFormatPr defaultColWidth="16.44140625" defaultRowHeight="14.4" x14ac:dyDescent="0.3"/>
  <cols>
    <col min="1" max="1" width="29.88671875" hidden="1" customWidth="1"/>
    <col min="2" max="2" width="10.44140625" hidden="1" customWidth="1"/>
    <col min="3" max="4" width="9.44140625" hidden="1" customWidth="1"/>
    <col min="5" max="5" width="12.5546875" hidden="1" customWidth="1"/>
    <col min="6" max="6" width="55.5546875" bestFit="1" customWidth="1"/>
    <col min="7" max="7" width="22.6640625" hidden="1" customWidth="1"/>
    <col min="8" max="8" width="36.5546875" customWidth="1"/>
    <col min="9" max="9" width="14.33203125" hidden="1" customWidth="1"/>
    <col min="10" max="10" width="51.109375" customWidth="1"/>
    <col min="11" max="11" width="16.5546875" hidden="1" customWidth="1"/>
    <col min="12" max="12" width="34" customWidth="1"/>
    <col min="13" max="13" width="11.44140625" hidden="1" customWidth="1"/>
    <col min="14" max="14" width="16.5546875" hidden="1" customWidth="1"/>
    <col min="15" max="15" width="37.88671875" customWidth="1"/>
    <col min="16" max="16" width="16.44140625" hidden="1" customWidth="1"/>
    <col min="17" max="17" width="37.6640625" customWidth="1"/>
    <col min="18" max="18" width="0" hidden="1" customWidth="1"/>
    <col min="19" max="19" width="31.6640625" customWidth="1"/>
    <col min="20" max="20" width="0" hidden="1" customWidth="1"/>
    <col min="21" max="21" width="39.109375" customWidth="1"/>
  </cols>
  <sheetData>
    <row r="1" spans="1:21" hidden="1" x14ac:dyDescent="0.3">
      <c r="F1" s="95" t="s">
        <v>46</v>
      </c>
      <c r="G1" s="96"/>
      <c r="H1" s="96"/>
      <c r="I1" s="96"/>
      <c r="J1" s="96"/>
      <c r="K1" s="97"/>
      <c r="M1" s="1" t="s">
        <v>0</v>
      </c>
      <c r="N1" s="1" t="s">
        <v>1</v>
      </c>
    </row>
    <row r="2" spans="1:21" hidden="1" x14ac:dyDescent="0.3">
      <c r="F2" s="98"/>
      <c r="G2" s="135"/>
      <c r="H2" s="135"/>
      <c r="I2" s="135"/>
      <c r="J2" s="135"/>
      <c r="K2" s="100"/>
      <c r="M2" s="2" t="s">
        <v>2</v>
      </c>
      <c r="N2" s="2">
        <v>30</v>
      </c>
    </row>
    <row r="3" spans="1:21" hidden="1" x14ac:dyDescent="0.3">
      <c r="F3" s="3" t="s">
        <v>3</v>
      </c>
      <c r="G3" s="101" t="s">
        <v>43</v>
      </c>
      <c r="H3" s="103"/>
      <c r="I3" s="4" t="s">
        <v>4</v>
      </c>
      <c r="J3" s="101" t="s">
        <v>44</v>
      </c>
      <c r="K3" s="103"/>
      <c r="M3" s="2" t="s">
        <v>5</v>
      </c>
      <c r="N3" s="2">
        <v>10</v>
      </c>
    </row>
    <row r="4" spans="1:21" hidden="1" x14ac:dyDescent="0.3">
      <c r="F4" s="3" t="s">
        <v>6</v>
      </c>
      <c r="G4" s="101" t="s">
        <v>47</v>
      </c>
      <c r="H4" s="103"/>
      <c r="I4" s="4" t="s">
        <v>7</v>
      </c>
      <c r="J4" s="101" t="s">
        <v>44</v>
      </c>
      <c r="K4" s="103"/>
      <c r="M4" s="2" t="s">
        <v>8</v>
      </c>
      <c r="N4" s="2">
        <v>2</v>
      </c>
    </row>
    <row r="5" spans="1:21" hidden="1" x14ac:dyDescent="0.3">
      <c r="F5" s="3" t="s">
        <v>9</v>
      </c>
      <c r="G5" s="101">
        <v>4427500164</v>
      </c>
      <c r="H5" s="103"/>
      <c r="I5" s="4" t="s">
        <v>10</v>
      </c>
      <c r="J5" s="101" t="s">
        <v>48</v>
      </c>
      <c r="K5" s="103"/>
    </row>
    <row r="6" spans="1:21" ht="15" hidden="1" thickBot="1" x14ac:dyDescent="0.35">
      <c r="F6" s="5" t="s">
        <v>11</v>
      </c>
      <c r="G6" s="88" t="s">
        <v>12</v>
      </c>
      <c r="H6" s="90"/>
      <c r="I6" s="6" t="s">
        <v>13</v>
      </c>
      <c r="J6" s="88" t="s">
        <v>45</v>
      </c>
      <c r="K6" s="90"/>
    </row>
    <row r="7" spans="1:21" ht="15" thickBot="1" x14ac:dyDescent="0.35"/>
    <row r="8" spans="1:21" ht="15" customHeight="1" thickBot="1" x14ac:dyDescent="0.35">
      <c r="B8" s="35"/>
      <c r="C8" s="35"/>
      <c r="D8" s="35"/>
      <c r="F8" s="118" t="s">
        <v>15</v>
      </c>
      <c r="G8" s="119" t="s">
        <v>51</v>
      </c>
      <c r="H8" s="120"/>
      <c r="I8" s="121" t="s">
        <v>73</v>
      </c>
      <c r="J8" s="120"/>
      <c r="K8" s="121" t="s">
        <v>52</v>
      </c>
      <c r="L8" s="120"/>
      <c r="M8" s="122"/>
      <c r="N8" s="121" t="s">
        <v>53</v>
      </c>
      <c r="O8" s="120"/>
      <c r="P8" s="123" t="s">
        <v>80</v>
      </c>
      <c r="Q8" s="123" t="s">
        <v>80</v>
      </c>
      <c r="R8" s="124" t="s">
        <v>81</v>
      </c>
      <c r="S8" s="125"/>
      <c r="T8" s="124" t="s">
        <v>82</v>
      </c>
      <c r="U8" s="119"/>
    </row>
    <row r="9" spans="1:21" x14ac:dyDescent="0.3">
      <c r="A9" s="8" t="s">
        <v>19</v>
      </c>
      <c r="B9" s="9"/>
      <c r="C9" s="10"/>
      <c r="D9" s="11">
        <f>C9-B9</f>
        <v>0</v>
      </c>
      <c r="F9" s="117" t="s">
        <v>90</v>
      </c>
      <c r="G9" s="38">
        <v>14021</v>
      </c>
      <c r="H9" s="39">
        <v>14021.27</v>
      </c>
      <c r="I9" s="9">
        <v>11588</v>
      </c>
      <c r="J9" s="10">
        <v>11588</v>
      </c>
      <c r="K9" s="9">
        <v>14021</v>
      </c>
      <c r="L9" s="10">
        <v>14021.27</v>
      </c>
      <c r="M9" s="11">
        <f>L9-K9</f>
        <v>0.27000000000043656</v>
      </c>
      <c r="N9" s="9">
        <v>12360</v>
      </c>
      <c r="O9" s="10">
        <v>12746.61</v>
      </c>
      <c r="P9" s="9">
        <v>14021</v>
      </c>
      <c r="Q9" s="10">
        <v>14021.27</v>
      </c>
      <c r="R9" s="9">
        <v>12747</v>
      </c>
      <c r="S9" s="10">
        <v>12747</v>
      </c>
      <c r="T9" s="9">
        <v>11588</v>
      </c>
      <c r="U9" s="10">
        <v>11588</v>
      </c>
    </row>
    <row r="10" spans="1:21" x14ac:dyDescent="0.3">
      <c r="A10" s="8" t="s">
        <v>20</v>
      </c>
      <c r="B10" s="9"/>
      <c r="C10" s="10"/>
      <c r="D10" s="11">
        <f>C10-B10</f>
        <v>0</v>
      </c>
      <c r="F10" s="8" t="s">
        <v>20</v>
      </c>
      <c r="G10" s="9">
        <v>1295</v>
      </c>
      <c r="H10" s="10">
        <v>1723.2</v>
      </c>
      <c r="I10" s="9">
        <v>1295</v>
      </c>
      <c r="J10" s="10">
        <v>1723.2</v>
      </c>
      <c r="K10" s="9">
        <v>1295</v>
      </c>
      <c r="L10" s="10">
        <v>1723.2</v>
      </c>
      <c r="M10" s="11">
        <f>L10-K10</f>
        <v>428.20000000000005</v>
      </c>
      <c r="N10" s="9">
        <v>2203</v>
      </c>
      <c r="O10" s="10">
        <v>2203</v>
      </c>
      <c r="P10" s="9">
        <v>1295</v>
      </c>
      <c r="Q10" s="10">
        <v>1723.2</v>
      </c>
      <c r="R10" s="9">
        <v>1295</v>
      </c>
      <c r="S10" s="10">
        <v>1723.2</v>
      </c>
      <c r="T10" s="9">
        <v>1295</v>
      </c>
      <c r="U10" s="10">
        <v>1723.2</v>
      </c>
    </row>
    <row r="11" spans="1:21" x14ac:dyDescent="0.3">
      <c r="A11" s="8" t="s">
        <v>21</v>
      </c>
      <c r="B11" s="9"/>
      <c r="C11" s="10"/>
      <c r="D11" s="11">
        <f>C11-B11</f>
        <v>0</v>
      </c>
      <c r="F11" s="8" t="s">
        <v>21</v>
      </c>
      <c r="G11" s="9">
        <v>280</v>
      </c>
      <c r="H11" s="10">
        <v>0</v>
      </c>
      <c r="I11" s="9">
        <v>232</v>
      </c>
      <c r="J11" s="10">
        <v>0</v>
      </c>
      <c r="K11" s="9">
        <v>280</v>
      </c>
      <c r="L11" s="10">
        <v>0</v>
      </c>
      <c r="M11" s="11">
        <f>L11-K11</f>
        <v>-280</v>
      </c>
      <c r="N11" s="9">
        <v>247</v>
      </c>
      <c r="O11" s="10">
        <v>0</v>
      </c>
      <c r="P11" s="9">
        <v>280</v>
      </c>
      <c r="Q11" s="10">
        <v>0</v>
      </c>
      <c r="R11" s="9">
        <v>255</v>
      </c>
      <c r="S11" s="10">
        <v>0</v>
      </c>
      <c r="T11" s="9">
        <v>232</v>
      </c>
      <c r="U11" s="10">
        <v>0</v>
      </c>
    </row>
    <row r="12" spans="1:21" x14ac:dyDescent="0.3">
      <c r="A12" s="12" t="s">
        <v>22</v>
      </c>
      <c r="B12" s="13">
        <f>SUM(B9:B11)</f>
        <v>0</v>
      </c>
      <c r="C12" s="14">
        <f>SUM(C9:C11)</f>
        <v>0</v>
      </c>
      <c r="D12" s="15">
        <f>SUM(D9:D11)</f>
        <v>0</v>
      </c>
      <c r="F12" s="12" t="s">
        <v>22</v>
      </c>
      <c r="G12" s="13">
        <f t="shared" ref="G12:O12" si="0">SUM(G9:G11)</f>
        <v>15596</v>
      </c>
      <c r="H12" s="14">
        <f t="shared" si="0"/>
        <v>15744.470000000001</v>
      </c>
      <c r="I12" s="13">
        <f t="shared" si="0"/>
        <v>13115</v>
      </c>
      <c r="J12" s="14">
        <f t="shared" si="0"/>
        <v>13311.2</v>
      </c>
      <c r="K12" s="13">
        <f t="shared" si="0"/>
        <v>15596</v>
      </c>
      <c r="L12" s="14">
        <f t="shared" si="0"/>
        <v>15744.470000000001</v>
      </c>
      <c r="M12" s="15">
        <f t="shared" si="0"/>
        <v>148.47000000000048</v>
      </c>
      <c r="N12" s="13">
        <f t="shared" si="0"/>
        <v>14810</v>
      </c>
      <c r="O12" s="14">
        <f t="shared" si="0"/>
        <v>14949.61</v>
      </c>
      <c r="P12" s="13">
        <f>SUM(P9:P11)</f>
        <v>15596</v>
      </c>
      <c r="Q12" s="14">
        <f>SUM(Q9:Q11)</f>
        <v>15744.470000000001</v>
      </c>
      <c r="R12" s="13">
        <f t="shared" ref="R12:U12" si="1">SUM(R9:R11)</f>
        <v>14297</v>
      </c>
      <c r="S12" s="14">
        <f t="shared" si="1"/>
        <v>14470.2</v>
      </c>
      <c r="T12" s="13">
        <f t="shared" si="1"/>
        <v>13115</v>
      </c>
      <c r="U12" s="14">
        <f t="shared" si="1"/>
        <v>13311.2</v>
      </c>
    </row>
    <row r="13" spans="1:21" x14ac:dyDescent="0.3">
      <c r="A13" s="8" t="s">
        <v>23</v>
      </c>
      <c r="B13" s="9"/>
      <c r="C13" s="10"/>
      <c r="D13" s="11">
        <f t="shared" ref="D13:D32" si="2">C13-B13</f>
        <v>0</v>
      </c>
      <c r="F13" s="8" t="s">
        <v>23</v>
      </c>
      <c r="G13" s="9">
        <v>7842</v>
      </c>
      <c r="H13" s="10">
        <f>7842+280</f>
        <v>8122</v>
      </c>
      <c r="I13" s="9">
        <v>2935</v>
      </c>
      <c r="J13" s="10">
        <f>2935+232+44</f>
        <v>3211</v>
      </c>
      <c r="K13" s="9">
        <v>1004</v>
      </c>
      <c r="L13" s="10">
        <f>1004+280</f>
        <v>1284</v>
      </c>
      <c r="M13" s="11">
        <f t="shared" ref="M13" si="3">L13-K13</f>
        <v>280</v>
      </c>
      <c r="N13" s="9">
        <v>9741</v>
      </c>
      <c r="O13" s="10">
        <f>9741+247</f>
        <v>9988</v>
      </c>
      <c r="P13" s="9">
        <v>6021</v>
      </c>
      <c r="Q13" s="10">
        <f>6021+280</f>
        <v>6301</v>
      </c>
      <c r="R13" s="9">
        <v>5447</v>
      </c>
      <c r="S13" s="10">
        <f>5447+255</f>
        <v>5702</v>
      </c>
      <c r="T13" s="9">
        <v>2935</v>
      </c>
      <c r="U13" s="9">
        <f>2935+232+44</f>
        <v>3211</v>
      </c>
    </row>
    <row r="14" spans="1:21" x14ac:dyDescent="0.3">
      <c r="A14" s="8" t="s">
        <v>24</v>
      </c>
      <c r="B14" s="9"/>
      <c r="C14" s="10" t="e">
        <f>SUM(C9:C10)*#REF!</f>
        <v>#REF!</v>
      </c>
      <c r="D14" s="11" t="e">
        <f t="shared" si="2"/>
        <v>#REF!</v>
      </c>
      <c r="F14" s="8" t="s">
        <v>92</v>
      </c>
      <c r="G14" s="76">
        <v>1560</v>
      </c>
      <c r="H14" s="77">
        <f>SUM(H9:H10)*10%</f>
        <v>1574.4470000000001</v>
      </c>
      <c r="I14" s="76">
        <v>656</v>
      </c>
      <c r="J14" s="78">
        <f>SUM(J9:J10)*5%</f>
        <v>665.56000000000006</v>
      </c>
      <c r="K14" s="75">
        <v>766</v>
      </c>
      <c r="L14" s="78">
        <f>SUM(L9:L10)*5%</f>
        <v>787.22350000000006</v>
      </c>
      <c r="M14" s="11">
        <f t="shared" ref="M14:M22" si="4">L14-K14</f>
        <v>21.223500000000058</v>
      </c>
      <c r="N14" s="9">
        <v>1111</v>
      </c>
      <c r="O14" s="78">
        <f>SUM(O9:O10)*7.5%</f>
        <v>1121.22075</v>
      </c>
      <c r="P14" s="9">
        <v>1560</v>
      </c>
      <c r="Q14" s="74">
        <f>SUM(Q9:Q10)*10%</f>
        <v>1574.4470000000001</v>
      </c>
      <c r="R14" s="9">
        <v>715</v>
      </c>
      <c r="S14" s="10">
        <f>SUM(S9:S10)*5%</f>
        <v>723.5100000000001</v>
      </c>
      <c r="T14" s="9">
        <v>656</v>
      </c>
      <c r="U14" s="74">
        <f>SUM(U9:U10)*5%</f>
        <v>665.56000000000006</v>
      </c>
    </row>
    <row r="15" spans="1:21" x14ac:dyDescent="0.3">
      <c r="A15" s="12" t="s">
        <v>25</v>
      </c>
      <c r="B15" s="13">
        <f>SUM(B14,B12:B13)</f>
        <v>0</v>
      </c>
      <c r="C15" s="14" t="e">
        <f>SUM(C14,C12:C13)</f>
        <v>#REF!</v>
      </c>
      <c r="D15" s="15" t="e">
        <f t="shared" si="2"/>
        <v>#REF!</v>
      </c>
      <c r="F15" s="12" t="s">
        <v>25</v>
      </c>
      <c r="G15" s="13">
        <f>SUM(G14,G12:G13)</f>
        <v>24998</v>
      </c>
      <c r="H15" s="14">
        <f>SUM(H14,H12:H13)</f>
        <v>25440.917000000001</v>
      </c>
      <c r="I15" s="13">
        <f>SUM(I14,I12:I13)</f>
        <v>16706</v>
      </c>
      <c r="J15" s="14">
        <f>SUM(J14,J12:J13)</f>
        <v>17187.760000000002</v>
      </c>
      <c r="K15" s="13">
        <f>SUM(K14,K12:K13)</f>
        <v>17366</v>
      </c>
      <c r="L15" s="14">
        <f>SUM(L14,L12:L13)</f>
        <v>17815.693500000001</v>
      </c>
      <c r="M15" s="15">
        <f t="shared" si="4"/>
        <v>449.69350000000122</v>
      </c>
      <c r="N15" s="13">
        <f>SUM(N14,N12:N13)</f>
        <v>25662</v>
      </c>
      <c r="O15" s="14">
        <f>SUM(O14,O12:O13)</f>
        <v>26058.830750000001</v>
      </c>
      <c r="P15" s="13">
        <f>SUM(P14,P12:P13)</f>
        <v>23177</v>
      </c>
      <c r="Q15" s="14">
        <f>SUM(Q14,Q12:Q13)</f>
        <v>23619.917000000001</v>
      </c>
      <c r="R15" s="13">
        <f>SUM(R14,R12:R13)</f>
        <v>20459</v>
      </c>
      <c r="S15" s="14">
        <f>SUM(S14,S12:S13)</f>
        <v>20895.71</v>
      </c>
      <c r="T15" s="13">
        <f>SUM(T14,T12:T13)</f>
        <v>16706</v>
      </c>
      <c r="U15" s="14">
        <f>SUM(U14,U12:U13)</f>
        <v>17187.760000000002</v>
      </c>
    </row>
    <row r="16" spans="1:21" x14ac:dyDescent="0.3">
      <c r="A16" s="8" t="s">
        <v>26</v>
      </c>
      <c r="B16" s="9"/>
      <c r="C16" s="10">
        <f>B16</f>
        <v>0</v>
      </c>
      <c r="D16" s="11">
        <f t="shared" si="2"/>
        <v>0</v>
      </c>
      <c r="F16" s="8" t="s">
        <v>26</v>
      </c>
      <c r="G16" s="9">
        <v>750</v>
      </c>
      <c r="H16" s="10">
        <f>G16</f>
        <v>750</v>
      </c>
      <c r="I16" s="9">
        <v>0</v>
      </c>
      <c r="J16" s="9">
        <v>0</v>
      </c>
      <c r="K16" s="9">
        <v>0</v>
      </c>
      <c r="L16" s="9">
        <v>0</v>
      </c>
      <c r="M16" s="11">
        <f t="shared" si="4"/>
        <v>0</v>
      </c>
      <c r="N16" s="9">
        <v>750</v>
      </c>
      <c r="O16" s="10">
        <f>N16</f>
        <v>750</v>
      </c>
      <c r="P16" s="9">
        <v>750</v>
      </c>
      <c r="Q16" s="10">
        <v>750</v>
      </c>
      <c r="R16" s="9"/>
      <c r="S16" s="10"/>
      <c r="T16" s="9">
        <v>0</v>
      </c>
      <c r="U16" s="10">
        <f>T16</f>
        <v>0</v>
      </c>
    </row>
    <row r="17" spans="1:21" x14ac:dyDescent="0.3">
      <c r="A17" s="8" t="s">
        <v>27</v>
      </c>
      <c r="B17" s="18"/>
      <c r="C17" s="10" t="e">
        <f>IF(C15&gt;21000,0,IF(AND($J$3="Monthly",$J$4="Monthly"),SUM(C15,C19,C22,C24)*3.25%,IF(AND($J$3="Yearly",$J$4="Monthly"),SUM(C15,C22,C24)*3.25%,IF(AND($J$3="Monthly",$J$4="Yearly"),SUM(C15,C19,C24)*3.25%,IF(AND($J$3="Yearly",$J$4="Yearly"),SUM(C15,C24)*3.25%,"Check")))))</f>
        <v>#REF!</v>
      </c>
      <c r="D17" s="11" t="e">
        <f t="shared" si="2"/>
        <v>#REF!</v>
      </c>
      <c r="F17" s="8" t="s">
        <v>27</v>
      </c>
      <c r="G17" s="18">
        <v>0</v>
      </c>
      <c r="H17" s="10">
        <f>IF(H15&gt;21000,0,IF(AND($J$3="Monthly",$J$4="Monthly"),SUM(H15,H19,H22,H24)*3.25%,IF(AND($J$3="Yearly",$J$4="Monthly"),SUM(H15,H22,H24)*3.25%,IF(AND($J$3="Monthly",$J$4="Yearly"),SUM(H15,H19,H24)*3.25%,IF(AND($J$3="Yearly",$J$4="Yearly"),SUM(H15,H24)*3.25%,"Check")))))</f>
        <v>0</v>
      </c>
      <c r="I17" s="18">
        <v>631</v>
      </c>
      <c r="J17" s="10">
        <f>IF(J15&gt;21000,0,IF(AND($J$3="Monthly",$J$4="Monthly"),SUM(J15,J19,J22,J24)*3.25%,IF(AND($J$3="Yearly",$J$4="Monthly"),SUM(J15,J22,J24)*3.25%,IF(AND($J$3="Monthly",$J$4="Yearly"),SUM(J15,J19,J24)*3.25%,IF(AND($J$3="Yearly",$J$4="Yearly"),SUM(J15,J24)*3.25%,"Check")))))</f>
        <v>648.35069620000013</v>
      </c>
      <c r="K17" s="10">
        <f>IF(K15&gt;21000,0,IF(AND($J$3="Monthly",$J$4="Monthly"),SUM(K15,K19,K22,K24)*3.25%,IF(AND($J$3="Yearly",$J$4="Monthly"),SUM(K15,K22,K24)*3.25%,IF(AND($J$3="Monthly",$J$4="Yearly"),SUM(K15,K19,K24)*3.25%,IF(AND($J$3="Yearly",$J$4="Yearly"),SUM(K15,K24)*3.25%,"Check")))))</f>
        <v>660.88602099999991</v>
      </c>
      <c r="L17" s="10">
        <f>IF(L15&gt;21000,0,IF(AND($J$3="Monthly",$J$4="Monthly"),SUM(L15,L19,L22,L24)*3.25%,IF(AND($J$3="Yearly",$J$4="Monthly"),SUM(L15,L22,L24)*3.25%,IF(AND($J$3="Monthly",$J$4="Yearly"),SUM(L15,L19,L24)*3.25%,IF(AND($J$3="Yearly",$J$4="Yearly"),SUM(L15,L24)*3.25%,"Check")))))</f>
        <v>677.30829734500014</v>
      </c>
      <c r="M17" s="11">
        <f t="shared" si="4"/>
        <v>16.422276345000228</v>
      </c>
      <c r="N17" s="10">
        <f>IF(N15&gt;21000,0,IF(AND($J$3="Monthly",$J$4="Monthly"),SUM(N15,N19,N22,N24)*3.25%,IF(AND($J$3="Yearly",$J$4="Monthly"),SUM(N15,N22,N24)*3.25%,IF(AND($J$3="Monthly",$J$4="Yearly"),SUM(N15,N19,N24)*3.25%,IF(AND($J$3="Yearly",$J$4="Yearly"),SUM(N15,N24)*3.25%,"Check")))))</f>
        <v>0</v>
      </c>
      <c r="O17" s="10">
        <f>IF(O15&gt;21000,0,IF(AND($J$3="Monthly",$J$4="Monthly"),SUM(O15,O19,O22,O24)*3.25%,IF(AND($J$3="Yearly",$J$4="Monthly"),SUM(O15,O22,O24)*3.25%,IF(AND($J$3="Monthly",$J$4="Yearly"),SUM(O15,O19,O24)*3.25%,IF(AND($J$3="Yearly",$J$4="Yearly"),SUM(O15,O24)*3.25%,"Check")))))</f>
        <v>0</v>
      </c>
      <c r="P17" s="18">
        <v>0</v>
      </c>
      <c r="Q17" s="10">
        <f>IF(Q15&gt;21000,0,IF(AND($J$3="Monthly",$J$4="Monthly"),SUM(Q15,Q19,Q22,Q24)*3.25%,IF(AND($J$3="Yearly",$J$4="Monthly"),SUM(Q15,Q22,Q24)*3.25%,IF(AND($J$3="Monthly",$J$4="Yearly"),SUM(Q15,Q19,Q24)*3.25%,IF(AND($J$3="Yearly",$J$4="Yearly"),SUM(Q15,Q24)*3.25%,"Check")))))</f>
        <v>0</v>
      </c>
      <c r="R17" s="18">
        <v>768</v>
      </c>
      <c r="S17" s="10">
        <f>IF(S15&gt;21000,0,IF(AND($J$3="Monthly",$J$4="Monthly"),SUM(S15,S19,S22,S24)*3.25%,IF(AND($J$3="Yearly",$J$4="Monthly"),SUM(S15,S22,S24)*3.25%,IF(AND($J$3="Monthly",$J$4="Yearly"),SUM(S15,S19,S24)*3.25%,IF(AND($J$3="Yearly",$J$4="Yearly"),SUM(S15,S24)*3.25%,"Check")))))</f>
        <v>783.58411769999998</v>
      </c>
      <c r="T17" s="18">
        <v>631</v>
      </c>
      <c r="U17" s="10">
        <f>IF(U15&gt;21000,0,IF(AND($J$3="Monthly",$J$4="Monthly"),SUM(U15,U19,U22,U24)*3.25%,IF(AND($J$3="Yearly",$J$4="Monthly"),SUM(U15,U22,U24)*3.25%,IF(AND($J$3="Monthly",$J$4="Yearly"),SUM(U15,U19,U24)*3.25%,IF(AND($J$3="Yearly",$J$4="Yearly"),SUM(U15,U24)*3.25%,"Check")))))</f>
        <v>648.35069620000013</v>
      </c>
    </row>
    <row r="18" spans="1:21" x14ac:dyDescent="0.3">
      <c r="A18" s="8" t="s">
        <v>28</v>
      </c>
      <c r="B18" s="9"/>
      <c r="C18" s="10" t="e">
        <f>IF($J$4="Monthly",MAX(IF((SUM(C15,C22,C24)-C14)&gt;=15000,1950,(SUM(C15,C22,C24)-C14)*13%),B18),IF(I6="Yearly",MAX(IF((SUM(C15,C24)-C14)&gt;=15000,1950,(SUM(C15,C24)-C14)*13%),B18),"Check"))</f>
        <v>#REF!</v>
      </c>
      <c r="D18" s="11" t="e">
        <f t="shared" si="2"/>
        <v>#REF!</v>
      </c>
      <c r="F18" s="8" t="s">
        <v>28</v>
      </c>
      <c r="G18" s="9">
        <v>1950</v>
      </c>
      <c r="H18" s="10">
        <f>IF($J$4="Monthly",MAX(IF((SUM(H15,H22,H24)-H14)&gt;=15000,1950,(SUM(H15,H22,H24)-H14)*13%),G18),IF(M6="Yearly",MAX(IF((SUM(H15,H24)-H14)&gt;=15000,1950,(SUM(H15,H24)-H14)*13%),G18),"Check"))</f>
        <v>1950</v>
      </c>
      <c r="I18" s="9">
        <v>1950</v>
      </c>
      <c r="J18" s="10">
        <f>IF($J$4="Monthly",MAX(IF((SUM(J15,J22,J24)-J14)&gt;=15000,1950,(SUM(J15,J22,J24)-J14)*13%),I18),IF(#REF!="Yearly",MAX(IF((SUM(J15,J24)-J14)&gt;=15000,1950,(SUM(J15,J24)-J14)*13%),I18),"Check"))</f>
        <v>1950</v>
      </c>
      <c r="K18" s="10" t="e">
        <f>IF($J$4="Monthly",MAX(IF((SUM(K15,K22,K24)-K14)&gt;=15000,1950,(SUM(K15,K22,K24)-K14)*13%),#REF!),IF(#REF!="Yearly",MAX(IF((SUM(K15,K24)-K14)&gt;=15000,1950,(SUM(K15,K24)-K14)*13%),#REF!),"Check"))</f>
        <v>#REF!</v>
      </c>
      <c r="L18" s="10">
        <v>1950</v>
      </c>
      <c r="M18" s="11" t="e">
        <f t="shared" si="4"/>
        <v>#REF!</v>
      </c>
      <c r="N18" s="9">
        <v>1950</v>
      </c>
      <c r="O18" s="10">
        <f>IF($J$4="Monthly",MAX(IF((SUM(O15,O22,O24)-O14)&gt;=15000,1950,(SUM(O15,O22,O24)-O14)*13%),N18),IF(#REF!="Yearly",MAX(IF((SUM(O15,O24)-O14)&gt;=15000,1950,(SUM(O15,O24)-O14)*13%),N18),"Check"))</f>
        <v>1950</v>
      </c>
      <c r="P18" s="9">
        <v>1950</v>
      </c>
      <c r="Q18" s="10">
        <f>IF($J$4="Monthly",MAX(IF((SUM(Q15,Q22,Q24)-Q14)&gt;=15000,1950,(SUM(Q15,Q22,Q24)-Q14)*13%),P18),IF(AJ5="Yearly",MAX(IF((SUM(Q15,Q24)-Q14)&gt;=15000,1950,(SUM(Q15,Q24)-Q14)*13%),P18),"Check"))</f>
        <v>1950</v>
      </c>
      <c r="R18" s="9">
        <v>1950</v>
      </c>
      <c r="S18" s="10">
        <f>IF($J$4="Monthly",MAX(IF((SUM(S15,S22,S24)-S14)&gt;=15000,1950,(SUM(S15,S22,S24)-S14)*13%),R18),IF(AG5="Yearly",MAX(IF((SUM(S15,S24)-S14)&gt;=15000,1950,(SUM(S15,S24)-S14)*13%),R18),"Check"))</f>
        <v>1950</v>
      </c>
      <c r="T18" s="9">
        <v>1950</v>
      </c>
      <c r="U18" s="10">
        <f>IF($J$4="Monthly",MAX(IF((SUM(U15,U22,U24)-U14)&gt;=15000,1950,(SUM(U15,U22,U24)-U14)*13%),T18),IF(AM5="Yearly",MAX(IF((SUM(U15,U24)-U14)&gt;=15000,1950,(SUM(U15,U24)-U14)*13%),T18),"Check"))</f>
        <v>1950</v>
      </c>
    </row>
    <row r="19" spans="1:21" x14ac:dyDescent="0.3">
      <c r="A19" s="8" t="s">
        <v>29</v>
      </c>
      <c r="B19" s="9"/>
      <c r="C19" s="10">
        <f>MAX(C12,7000)*8.33%</f>
        <v>583.1</v>
      </c>
      <c r="D19" s="11">
        <f t="shared" si="2"/>
        <v>583.1</v>
      </c>
      <c r="F19" s="8" t="s">
        <v>29</v>
      </c>
      <c r="G19" s="9">
        <v>1299</v>
      </c>
      <c r="H19" s="10">
        <f>MAX(H12,7000)*8.33%</f>
        <v>1311.514351</v>
      </c>
      <c r="I19" s="9">
        <v>1092</v>
      </c>
      <c r="J19" s="10">
        <f>MAX(J12,7000)*8.33%</f>
        <v>1108.82296</v>
      </c>
      <c r="K19" s="10">
        <f>MAX(K12,7000)*8.33%</f>
        <v>1299.1468</v>
      </c>
      <c r="L19" s="10">
        <f>MAX(L12,7000)*8.33%</f>
        <v>1311.514351</v>
      </c>
      <c r="M19" s="11">
        <f t="shared" si="4"/>
        <v>12.367551000000049</v>
      </c>
      <c r="N19" s="9">
        <v>1234</v>
      </c>
      <c r="O19" s="10">
        <f>MAX(O12,7000)*8.33%</f>
        <v>1245.3025130000001</v>
      </c>
      <c r="P19" s="9">
        <v>1299</v>
      </c>
      <c r="Q19" s="10">
        <f>MAX(Q12,7000)*8.33%</f>
        <v>1311.514351</v>
      </c>
      <c r="R19" s="9">
        <v>1191</v>
      </c>
      <c r="S19" s="10">
        <f>MAX(S12,7000)*8.33%</f>
        <v>1205.3676600000001</v>
      </c>
      <c r="T19" s="9">
        <v>1092</v>
      </c>
      <c r="U19" s="10">
        <f>MAX(U12,7000)*8.33%</f>
        <v>1108.82296</v>
      </c>
    </row>
    <row r="20" spans="1:21" x14ac:dyDescent="0.3">
      <c r="A20" s="12" t="s">
        <v>30</v>
      </c>
      <c r="B20" s="13">
        <f>SUM(B15:B19)</f>
        <v>0</v>
      </c>
      <c r="C20" s="14" t="e">
        <f>SUM(C15:C19)</f>
        <v>#REF!</v>
      </c>
      <c r="D20" s="15" t="e">
        <f t="shared" si="2"/>
        <v>#REF!</v>
      </c>
      <c r="F20" s="12" t="s">
        <v>30</v>
      </c>
      <c r="G20" s="13">
        <f>SUM(G15:G19)</f>
        <v>28997</v>
      </c>
      <c r="H20" s="14">
        <f>SUM(H15:H19)</f>
        <v>29452.431351000003</v>
      </c>
      <c r="I20" s="13">
        <f>SUM(I15:I19)</f>
        <v>20379</v>
      </c>
      <c r="J20" s="14">
        <f>SUM(J15:J19)</f>
        <v>20894.933656200003</v>
      </c>
      <c r="K20" s="13" t="e">
        <f>SUM(K15:K19)</f>
        <v>#REF!</v>
      </c>
      <c r="L20" s="14">
        <f>SUM(L15:L19)</f>
        <v>21754.516148345003</v>
      </c>
      <c r="M20" s="15" t="e">
        <f t="shared" si="4"/>
        <v>#REF!</v>
      </c>
      <c r="N20" s="13">
        <f>SUM(N15:N19)</f>
        <v>29596</v>
      </c>
      <c r="O20" s="14">
        <f>SUM(O15:O19)</f>
        <v>30004.133263</v>
      </c>
      <c r="P20" s="13">
        <f>SUM(P15:P19)</f>
        <v>27176</v>
      </c>
      <c r="Q20" s="14">
        <f>SUM(Q15:Q19)</f>
        <v>27631.431351000003</v>
      </c>
      <c r="R20" s="13">
        <f>SUM(R15:R19)</f>
        <v>24368</v>
      </c>
      <c r="S20" s="14">
        <f>SUM(S15:S19)</f>
        <v>24834.661777699999</v>
      </c>
      <c r="T20" s="13">
        <f>SUM(T15:T19)</f>
        <v>20379</v>
      </c>
      <c r="U20" s="14">
        <f>SUM(U15:U19)</f>
        <v>20894.933656200003</v>
      </c>
    </row>
    <row r="21" spans="1:21" x14ac:dyDescent="0.3">
      <c r="A21" s="8" t="s">
        <v>31</v>
      </c>
      <c r="B21" s="9"/>
      <c r="C21" s="10">
        <f>B21</f>
        <v>0</v>
      </c>
      <c r="D21" s="11">
        <f t="shared" si="2"/>
        <v>0</v>
      </c>
      <c r="F21" s="8" t="s">
        <v>31</v>
      </c>
      <c r="G21" s="9">
        <v>5</v>
      </c>
      <c r="H21" s="10">
        <f>G21</f>
        <v>5</v>
      </c>
      <c r="I21" s="9">
        <v>5</v>
      </c>
      <c r="J21" s="10">
        <f>I21</f>
        <v>5</v>
      </c>
      <c r="K21" s="9">
        <v>5</v>
      </c>
      <c r="L21" s="10">
        <f>K21</f>
        <v>5</v>
      </c>
      <c r="M21" s="11">
        <f t="shared" si="4"/>
        <v>0</v>
      </c>
      <c r="N21" s="9">
        <v>5</v>
      </c>
      <c r="O21" s="10">
        <f>N21</f>
        <v>5</v>
      </c>
      <c r="P21" s="9">
        <v>5</v>
      </c>
      <c r="Q21" s="10">
        <f>P21</f>
        <v>5</v>
      </c>
      <c r="R21" s="9">
        <v>5</v>
      </c>
      <c r="S21" s="10">
        <f>R21</f>
        <v>5</v>
      </c>
      <c r="T21" s="9">
        <v>5</v>
      </c>
      <c r="U21" s="10">
        <f>T21</f>
        <v>5</v>
      </c>
    </row>
    <row r="22" spans="1:21" x14ac:dyDescent="0.3">
      <c r="A22" s="8" t="s">
        <v>32</v>
      </c>
      <c r="B22" s="9"/>
      <c r="C22" s="10" t="e">
        <f>(C15/26)*($N$2/12)</f>
        <v>#REF!</v>
      </c>
      <c r="D22" s="11" t="e">
        <f t="shared" si="2"/>
        <v>#REF!</v>
      </c>
      <c r="F22" s="8" t="s">
        <v>32</v>
      </c>
      <c r="G22" s="9">
        <v>2404</v>
      </c>
      <c r="H22" s="10">
        <f>(H15/26)*($N$2/12)</f>
        <v>2446.2420192307691</v>
      </c>
      <c r="I22" s="9">
        <v>1606</v>
      </c>
      <c r="J22" s="10">
        <f>(J15/26)*($N$2/12)</f>
        <v>1652.669230769231</v>
      </c>
      <c r="K22" s="10">
        <f>(K15/26)*($N$2/12)</f>
        <v>1669.8076923076924</v>
      </c>
      <c r="L22" s="10">
        <f>(L15/26)*($N$2/12)</f>
        <v>1713.047451923077</v>
      </c>
      <c r="M22" s="11">
        <f t="shared" si="4"/>
        <v>43.239759615384628</v>
      </c>
      <c r="N22" s="9">
        <v>2467</v>
      </c>
      <c r="O22" s="10">
        <f>(O15/26)*($N$2/12)</f>
        <v>2505.6568028846154</v>
      </c>
      <c r="P22" s="9">
        <v>2229</v>
      </c>
      <c r="Q22" s="10">
        <f>(Q15/26)*($N$2/12)</f>
        <v>2271.1458653846153</v>
      </c>
      <c r="R22" s="9">
        <v>1967</v>
      </c>
      <c r="S22" s="10">
        <f>(S15/26)*($N$2/12)</f>
        <v>2009.2028846153846</v>
      </c>
      <c r="T22" s="9">
        <v>1606</v>
      </c>
      <c r="U22" s="10">
        <f>(U15/26)*($N$2/12)</f>
        <v>1652.669230769231</v>
      </c>
    </row>
    <row r="23" spans="1:21" x14ac:dyDescent="0.3">
      <c r="A23" s="16" t="s">
        <v>33</v>
      </c>
      <c r="B23" s="19"/>
      <c r="C23" s="20"/>
      <c r="D23" s="17"/>
      <c r="F23" s="16" t="s">
        <v>93</v>
      </c>
      <c r="G23" s="19"/>
      <c r="H23" s="20" t="s">
        <v>48</v>
      </c>
      <c r="I23" s="19"/>
      <c r="J23" s="20" t="s">
        <v>48</v>
      </c>
      <c r="K23" s="20" t="s">
        <v>48</v>
      </c>
      <c r="L23" s="20" t="s">
        <v>48</v>
      </c>
      <c r="M23" s="17"/>
      <c r="N23" s="19"/>
      <c r="O23" s="20" t="s">
        <v>48</v>
      </c>
      <c r="P23" s="19">
        <v>0</v>
      </c>
      <c r="Q23" s="20" t="s">
        <v>48</v>
      </c>
      <c r="R23" s="19">
        <v>0</v>
      </c>
      <c r="S23" s="20" t="s">
        <v>48</v>
      </c>
      <c r="T23" s="19"/>
      <c r="U23" s="20" t="s">
        <v>48</v>
      </c>
    </row>
    <row r="24" spans="1:21" x14ac:dyDescent="0.3">
      <c r="A24" s="8" t="s">
        <v>34</v>
      </c>
      <c r="B24" s="9"/>
      <c r="C24" s="10">
        <f>IF(C23="Yes",((C15/26)*($N$3/12))*$N$4,0)</f>
        <v>0</v>
      </c>
      <c r="D24" s="11">
        <f t="shared" si="2"/>
        <v>0</v>
      </c>
      <c r="F24" s="8" t="s">
        <v>34</v>
      </c>
      <c r="G24" s="9">
        <v>0</v>
      </c>
      <c r="H24" s="10">
        <f>IF(H23="Yes",((H15/26)*($N$3/12))*$N$4,0)</f>
        <v>0</v>
      </c>
      <c r="I24" s="9">
        <v>0</v>
      </c>
      <c r="J24" s="10">
        <f>IF(J23="Yes",((J15/26)*($N$3/12))*$N$4,0)</f>
        <v>0</v>
      </c>
      <c r="K24" s="10">
        <f>IF(K23="Yes",((K15/26)*($N$3/12))*$N$4,0)</f>
        <v>0</v>
      </c>
      <c r="L24" s="10">
        <f>IF(L23="Yes",((L15/26)*($N$3/12))*$N$4,0)</f>
        <v>0</v>
      </c>
      <c r="M24" s="11">
        <f t="shared" ref="M24:M32" si="5">L24-K24</f>
        <v>0</v>
      </c>
      <c r="N24" s="9">
        <v>0</v>
      </c>
      <c r="O24" s="10">
        <f>IF(O23="Yes",((O15/26)*($N$3/12))*$N$4,0)</f>
        <v>0</v>
      </c>
      <c r="P24" s="9">
        <v>0</v>
      </c>
      <c r="Q24" s="10">
        <f>IF(Q23="Yes",((Q15/26)*($N$3/12))*$N$4,0)</f>
        <v>0</v>
      </c>
      <c r="R24" s="9">
        <v>0</v>
      </c>
      <c r="S24" s="10">
        <f>IF(S23="Yes",((S15/26)*($N$3/12))*$N$4,0)</f>
        <v>0</v>
      </c>
      <c r="T24" s="9">
        <v>0</v>
      </c>
      <c r="U24" s="10">
        <f>IF(U23="Yes",((U15/26)*($N$3/12))*$N$4,0)</f>
        <v>0</v>
      </c>
    </row>
    <row r="25" spans="1:21" x14ac:dyDescent="0.3">
      <c r="A25" s="8" t="s">
        <v>35</v>
      </c>
      <c r="B25" s="9"/>
      <c r="C25" s="10">
        <f>B25</f>
        <v>0</v>
      </c>
      <c r="D25" s="11">
        <f t="shared" si="2"/>
        <v>0</v>
      </c>
      <c r="F25" s="8" t="s">
        <v>35</v>
      </c>
      <c r="G25" s="9">
        <v>200</v>
      </c>
      <c r="H25" s="10">
        <f>G25</f>
        <v>200</v>
      </c>
      <c r="I25" s="9">
        <v>200</v>
      </c>
      <c r="J25" s="10">
        <f>I25</f>
        <v>200</v>
      </c>
      <c r="K25" s="10">
        <v>200</v>
      </c>
      <c r="L25" s="10">
        <v>200</v>
      </c>
      <c r="M25" s="11">
        <f t="shared" si="5"/>
        <v>0</v>
      </c>
      <c r="N25" s="9">
        <v>600</v>
      </c>
      <c r="O25" s="10">
        <f>N25</f>
        <v>600</v>
      </c>
      <c r="P25" s="9">
        <v>200</v>
      </c>
      <c r="Q25" s="10">
        <v>200</v>
      </c>
      <c r="R25" s="9">
        <v>200</v>
      </c>
      <c r="S25" s="10">
        <f>R25</f>
        <v>200</v>
      </c>
      <c r="T25" s="9">
        <v>200</v>
      </c>
      <c r="U25" s="10">
        <f>T25</f>
        <v>200</v>
      </c>
    </row>
    <row r="26" spans="1:21" x14ac:dyDescent="0.3">
      <c r="A26" s="12" t="s">
        <v>36</v>
      </c>
      <c r="B26" s="13">
        <f>SUM(B24:B25,B20:B22)</f>
        <v>0</v>
      </c>
      <c r="C26" s="14" t="e">
        <f>SUM(C24:C25,C20:C22)</f>
        <v>#REF!</v>
      </c>
      <c r="D26" s="15" t="e">
        <f t="shared" si="2"/>
        <v>#REF!</v>
      </c>
      <c r="F26" s="12" t="s">
        <v>36</v>
      </c>
      <c r="G26" s="13">
        <f>SUM(G24:G25,G20:G22)</f>
        <v>31606</v>
      </c>
      <c r="H26" s="14">
        <f>SUM(H24:H25,H20:H22)</f>
        <v>32103.673370230772</v>
      </c>
      <c r="I26" s="13">
        <f>SUM(I24:I25,I20:I22)</f>
        <v>22190</v>
      </c>
      <c r="J26" s="14">
        <f>SUM(J24:J25,J20:J22)</f>
        <v>22752.602886969235</v>
      </c>
      <c r="K26" s="13" t="e">
        <f>SUM(K24:K25,K20:K22)</f>
        <v>#REF!</v>
      </c>
      <c r="L26" s="14">
        <f>SUM(L24:L25,L20:L22)</f>
        <v>23672.56360026808</v>
      </c>
      <c r="M26" s="15" t="e">
        <f t="shared" si="5"/>
        <v>#REF!</v>
      </c>
      <c r="N26" s="13">
        <f>SUM(N24:N25,N20:N22)</f>
        <v>32668</v>
      </c>
      <c r="O26" s="14">
        <f>SUM(O24:O25,O20:O22)</f>
        <v>33114.790065884612</v>
      </c>
      <c r="P26" s="13">
        <f>SUM(P24:P25,P20:P22)</f>
        <v>29610</v>
      </c>
      <c r="Q26" s="14">
        <f>SUM(Q24:Q25,Q20:Q22)</f>
        <v>30107.57721638462</v>
      </c>
      <c r="R26" s="13">
        <f>SUM(R24:R25,R20:R22)</f>
        <v>26540</v>
      </c>
      <c r="S26" s="14">
        <f>SUM(S24:S25,S20:S22)</f>
        <v>27048.864662315384</v>
      </c>
      <c r="T26" s="13">
        <f>SUM(T24:T25,T20:T22)</f>
        <v>22190</v>
      </c>
      <c r="U26" s="14">
        <f>SUM(U24:U25,U20:U22)</f>
        <v>22752.602886969235</v>
      </c>
    </row>
    <row r="27" spans="1:21" x14ac:dyDescent="0.3">
      <c r="A27" s="21" t="s">
        <v>37</v>
      </c>
      <c r="B27" s="22"/>
      <c r="C27" s="23"/>
      <c r="D27" s="24">
        <f t="shared" si="2"/>
        <v>0</v>
      </c>
      <c r="F27" s="139" t="s">
        <v>37</v>
      </c>
      <c r="G27" s="140"/>
      <c r="H27" s="141">
        <v>6.9997784880225303E-2</v>
      </c>
      <c r="I27" s="140"/>
      <c r="J27" s="141">
        <v>7.0000000000000007E-2</v>
      </c>
      <c r="K27" s="140"/>
      <c r="L27" s="141">
        <v>7.0000000000000007E-2</v>
      </c>
      <c r="M27" s="142">
        <f t="shared" si="5"/>
        <v>7.0000000000000007E-2</v>
      </c>
      <c r="N27" s="140"/>
      <c r="O27" s="141">
        <v>7.0000000000000007E-2</v>
      </c>
      <c r="P27" s="140">
        <v>2072.3500000000004</v>
      </c>
      <c r="Q27" s="143"/>
      <c r="R27" s="140"/>
      <c r="S27" s="143"/>
      <c r="T27" s="140"/>
      <c r="U27" s="143"/>
    </row>
    <row r="28" spans="1:21" x14ac:dyDescent="0.3">
      <c r="A28" s="8" t="s">
        <v>13</v>
      </c>
      <c r="B28" s="9"/>
      <c r="C28" s="10" t="e">
        <f>IF($J$6="Fixed Amount",B28,#REF!*C27)</f>
        <v>#REF!</v>
      </c>
      <c r="D28" s="11" t="e">
        <f t="shared" si="2"/>
        <v>#REF!</v>
      </c>
      <c r="F28" s="139" t="s">
        <v>37</v>
      </c>
      <c r="G28" s="140">
        <v>2212</v>
      </c>
      <c r="H28" s="148">
        <f>H26*H27</f>
        <v>2247.1860224344314</v>
      </c>
      <c r="I28" s="140">
        <v>1552.95</v>
      </c>
      <c r="J28" s="148">
        <f>J26*J27</f>
        <v>1592.6822020878465</v>
      </c>
      <c r="K28" s="149" t="e">
        <f>K26*7%</f>
        <v>#REF!</v>
      </c>
      <c r="L28" s="148">
        <f>L26*L27</f>
        <v>1657.0794520187658</v>
      </c>
      <c r="M28" s="142" t="e">
        <f t="shared" si="5"/>
        <v>#REF!</v>
      </c>
      <c r="N28" s="140">
        <v>2286.4100000000003</v>
      </c>
      <c r="O28" s="150">
        <f>O26*O27</f>
        <v>2318.035304611923</v>
      </c>
      <c r="P28" s="143">
        <f>SUM(P27,P26)</f>
        <v>31682.35</v>
      </c>
      <c r="Q28" s="143">
        <f>Q26*7%</f>
        <v>2107.5304051469234</v>
      </c>
      <c r="R28" s="140">
        <v>1857.4500000000003</v>
      </c>
      <c r="S28" s="143">
        <f>S26*7%</f>
        <v>1893.420526362077</v>
      </c>
      <c r="T28" s="140">
        <v>1553</v>
      </c>
      <c r="U28" s="143">
        <f>U26*7%</f>
        <v>1592.6822020878465</v>
      </c>
    </row>
    <row r="29" spans="1:21" x14ac:dyDescent="0.3">
      <c r="A29" s="30" t="s">
        <v>38</v>
      </c>
      <c r="B29" s="31" t="e">
        <f>SUM(B28,#REF!)</f>
        <v>#REF!</v>
      </c>
      <c r="C29" s="32" t="e">
        <f>SUM(C28,#REF!)</f>
        <v>#REF!</v>
      </c>
      <c r="D29" s="33" t="e">
        <f t="shared" si="2"/>
        <v>#REF!</v>
      </c>
      <c r="E29" s="34"/>
      <c r="F29" s="126" t="s">
        <v>38</v>
      </c>
      <c r="G29" s="127">
        <f>SUM(G28,G26)</f>
        <v>33818</v>
      </c>
      <c r="H29" s="128">
        <f>SUM(H28,H26)</f>
        <v>34350.859392665203</v>
      </c>
      <c r="I29" s="128">
        <f>SUM(I28,I26)</f>
        <v>23742.95</v>
      </c>
      <c r="J29" s="128">
        <f>SUM(J28,J26)</f>
        <v>24345.285089057081</v>
      </c>
      <c r="K29" s="127" t="e">
        <f>SUM(K28,K26)</f>
        <v>#REF!</v>
      </c>
      <c r="L29" s="128">
        <f>SUM(L28,L26)</f>
        <v>25329.643052286847</v>
      </c>
      <c r="M29" s="129" t="e">
        <f t="shared" si="5"/>
        <v>#REF!</v>
      </c>
      <c r="N29" s="127">
        <f>SUM(N28,N26)</f>
        <v>34954.410000000003</v>
      </c>
      <c r="O29" s="128">
        <f>SUM(O28,O26)</f>
        <v>35432.825370496532</v>
      </c>
      <c r="P29" s="130">
        <v>-174</v>
      </c>
      <c r="Q29" s="128">
        <f>SUM(Q28,Q26)</f>
        <v>32215.107621531544</v>
      </c>
      <c r="R29" s="127">
        <f>SUM(R28,R26)</f>
        <v>28397.45</v>
      </c>
      <c r="S29" s="128">
        <f>SUM(S28,S26)</f>
        <v>28942.285188677459</v>
      </c>
      <c r="T29" s="128">
        <f>SUM(T28,T26)</f>
        <v>23743</v>
      </c>
      <c r="U29" s="128">
        <f>SUM(U28,U26)</f>
        <v>24345.285089057081</v>
      </c>
    </row>
    <row r="30" spans="1:21" x14ac:dyDescent="0.3">
      <c r="A30" s="8" t="s">
        <v>39</v>
      </c>
      <c r="B30" s="9"/>
      <c r="C30" s="10" t="e">
        <f>(0.75%*C17/3.25%)*-1</f>
        <v>#REF!</v>
      </c>
      <c r="D30" s="11" t="e">
        <f t="shared" si="2"/>
        <v>#REF!</v>
      </c>
      <c r="F30" s="8" t="s">
        <v>39</v>
      </c>
      <c r="G30" s="9">
        <v>0</v>
      </c>
      <c r="H30" s="10">
        <f>(0.75%*H17/3.25%)*-1</f>
        <v>0</v>
      </c>
      <c r="I30" s="9">
        <v>-125</v>
      </c>
      <c r="J30" s="10">
        <f>(0.75%*J17/3.25%)*-1</f>
        <v>-149.61939143076924</v>
      </c>
      <c r="K30" s="9">
        <v>-136</v>
      </c>
      <c r="L30" s="10">
        <f>(0.75%*L17/3.25%)*-1</f>
        <v>-156.30191477192309</v>
      </c>
      <c r="M30" s="11">
        <f t="shared" si="5"/>
        <v>-20.301914771923094</v>
      </c>
      <c r="N30" s="9">
        <v>0</v>
      </c>
      <c r="O30" s="10">
        <f>(0.75%*O17/3.25%)*-1</f>
        <v>0</v>
      </c>
      <c r="P30" s="9">
        <v>-1800</v>
      </c>
      <c r="Q30" s="138">
        <f>(0.75%*Q17/3.25%)*-1</f>
        <v>0</v>
      </c>
      <c r="R30" s="9">
        <v>-153</v>
      </c>
      <c r="S30" s="10">
        <f>(0.75%*S17/3.25%)*-1</f>
        <v>-180.82710408461534</v>
      </c>
      <c r="T30" s="9">
        <v>-142</v>
      </c>
      <c r="U30" s="10">
        <f>(0.75%*U17/3.25%)*-1</f>
        <v>-149.61939143076924</v>
      </c>
    </row>
    <row r="31" spans="1:21" x14ac:dyDescent="0.3">
      <c r="A31" s="8" t="s">
        <v>40</v>
      </c>
      <c r="B31" s="9"/>
      <c r="C31" s="10" t="e">
        <f>MIN(IF(C18=1950,1800,12%*C18/13%)*-1,B31)</f>
        <v>#REF!</v>
      </c>
      <c r="D31" s="11" t="e">
        <f t="shared" si="2"/>
        <v>#REF!</v>
      </c>
      <c r="F31" s="8" t="s">
        <v>40</v>
      </c>
      <c r="G31" s="9">
        <v>-1800</v>
      </c>
      <c r="H31" s="10">
        <f>MIN(IF(H18=1950,1800,12%*H18/13%)*-1,G31)</f>
        <v>-1800</v>
      </c>
      <c r="I31" s="9">
        <v>-1800</v>
      </c>
      <c r="J31" s="10">
        <f>MIN(IF(J18=1950,1800,12%*J18/13%)*-1,I31)</f>
        <v>-1800</v>
      </c>
      <c r="K31" s="9">
        <v>-1800</v>
      </c>
      <c r="L31" s="10">
        <f>MIN(IF(L18=1950,1800,12%*L18/13%)*-1,K31)</f>
        <v>-1800</v>
      </c>
      <c r="M31" s="11">
        <f t="shared" si="5"/>
        <v>0</v>
      </c>
      <c r="N31" s="9">
        <v>-1800</v>
      </c>
      <c r="O31" s="10">
        <f>MIN(IF(O18=1950,1800,12%*O18/13%)*-1,N31)</f>
        <v>-1800</v>
      </c>
      <c r="P31" s="13">
        <f>IF(AND($J$3="Monthly",$J$4="Monthly"),SUM(P15,P19,P22,P24,P29:P30),IF(AND($J$3="Yearly",$J$4="Monthly"),SUM(P15,P22,P24,P29:P30),IF(AND($J$3="Monthly",$J$4="Yearly"),SUM(P15,P19,P24,P29:P30),IF(AND($J$3="Yearly",$J$4="Yearly"),SUM(P15,P24,P29:P30)))))</f>
        <v>24731</v>
      </c>
      <c r="Q31" s="10">
        <f>MIN(IF(Q18=1950,1800,12%*Q18/13%)*-1,P30)</f>
        <v>-1800</v>
      </c>
      <c r="R31" s="9">
        <v>-1800</v>
      </c>
      <c r="S31" s="10">
        <f>MIN(IF(S18=1950,1800,12%*S18/13%)*-1,R31)</f>
        <v>-1800</v>
      </c>
      <c r="T31" s="9">
        <v>-1800</v>
      </c>
      <c r="U31" s="10">
        <f>MIN(IF(U18=1950,1800,12%*U18/13%)*-1,T31)</f>
        <v>-1800</v>
      </c>
    </row>
    <row r="32" spans="1:21" x14ac:dyDescent="0.3">
      <c r="A32" s="12" t="s">
        <v>41</v>
      </c>
      <c r="B32" s="13">
        <f>IF(AND($J$3="Monthly",$J$4="Monthly"),SUM(B15,B19,B22,B24,B30:B31),IF(AND($J$3="Yearly",$J$4="Monthly"),SUM(B15,B22,B24,B30:B31),IF(AND($J$3="Monthly",$J$4="Yearly"),SUM(B15,B19,B24,B30:B31),IF(AND($J$3="Yearly",$J$4="Yearly"),SUM(B15,B24,B30:B31)))))</f>
        <v>0</v>
      </c>
      <c r="C32" s="14" t="e">
        <f>IF(AND($J$3="Monthly",$J$4="Monthly"),SUM(C15,C19,C22,C24,C30:C31),IF(AND($J$3="Yearly",$J$4="Monthly"),SUM(C15,C22,C24,C30:C31),IF(AND($J$3="Monthly",$J$4="Yearly"),SUM(C15,C19,C24,C30:C31),IF(AND($J$3="Yearly",$J$4="Yearly"),SUM(C15,C24,C30:C31)))))</f>
        <v>#REF!</v>
      </c>
      <c r="D32" s="15" t="e">
        <f t="shared" si="2"/>
        <v>#REF!</v>
      </c>
      <c r="F32" s="158" t="s">
        <v>41</v>
      </c>
      <c r="G32" s="159">
        <f>IF(AND($J$3="Monthly",$J$4="Monthly"),SUM(G15,G19,G22,G24,G30:G31),IF(AND($J$3="Yearly",$J$4="Monthly"),SUM(G15,G22,G24,G30:G31),IF(AND($J$3="Monthly",$J$4="Yearly"),SUM(G15,G19,G24,G30:G31),IF(AND($J$3="Yearly",$J$4="Yearly"),SUM(G15,G24,G30:G31)))))</f>
        <v>26901</v>
      </c>
      <c r="H32" s="160">
        <f>IF(AND($J$3="Monthly",$J$4="Monthly"),SUM(H15,H19,H22,H24,H30:H31),IF(AND($J$3="Yearly",$J$4="Monthly"),SUM(H15,H22,H24,H30:H31),IF(AND($J$3="Monthly",$J$4="Yearly"),SUM(H15,H19,H24,H30:H31),IF(AND($J$3="Yearly",$J$4="Yearly"),SUM(H15,H24,H30:H31)))))</f>
        <v>27398.673370230772</v>
      </c>
      <c r="I32" s="159">
        <f>IF(AND($J$3="Monthly",$J$4="Monthly"),SUM(I15,I19,I22,I24,I30:I31),IF(AND($J$3="Yearly",$J$4="Monthly"),SUM(I15,I22,I24,I30:I31),IF(AND($J$3="Monthly",$J$4="Yearly"),SUM(I15,I19,I24,I30:I31),IF(AND($J$3="Yearly",$J$4="Yearly"),SUM(I15,I24,I30:I31)))))</f>
        <v>17479</v>
      </c>
      <c r="J32" s="160">
        <f>IF(AND($J$3="Monthly",$J$4="Monthly"),SUM(J15,J19,J22,J24,J30:J31),IF(AND($J$3="Yearly",$J$4="Monthly"),SUM(J15,J22,J24,J30:J31),IF(AND($J$3="Monthly",$J$4="Yearly"),SUM(J15,J19,J24,J30:J31),IF(AND($J$3="Yearly",$J$4="Yearly"),SUM(J15,J24,J30:J31)))))</f>
        <v>17999.632799338466</v>
      </c>
      <c r="K32" s="159">
        <f>IF(AND($J$3="Monthly",$J$4="Monthly"),SUM(K15,K19,K22,K24,K30:K31),IF(AND($J$3="Yearly",$J$4="Monthly"),SUM(K15,K22,K24,K30:K31),IF(AND($J$3="Monthly",$J$4="Yearly"),SUM(K15,K19,K24,K30:K31),IF(AND($J$3="Yearly",$J$4="Yearly"),SUM(K15,K24,K30:K31)))))</f>
        <v>18398.95449230769</v>
      </c>
      <c r="L32" s="160">
        <f>IF(AND($J$3="Monthly",$J$4="Monthly"),SUM(L15,L19,L22,L24,L30:L31),IF(AND($J$3="Yearly",$J$4="Monthly"),SUM(L15,L22,L24,L30:L31),IF(AND($J$3="Monthly",$J$4="Yearly"),SUM(L15,L19,L24,L30:L31),IF(AND($J$3="Yearly",$J$4="Yearly"),SUM(L15,L24,L30:L31)))))</f>
        <v>18883.953388151156</v>
      </c>
      <c r="M32" s="161">
        <f t="shared" si="5"/>
        <v>484.99889584346602</v>
      </c>
      <c r="N32" s="159">
        <f>IF(AND($J$3="Monthly",$J$4="Monthly"),SUM(N15,N19,N22,N24,N30:N31),IF(AND($J$3="Yearly",$J$4="Monthly"),SUM(N15,N22,N24,N30:N31),IF(AND($J$3="Monthly",$J$4="Yearly"),SUM(N15,N19,N24,N30:N31),IF(AND($J$3="Yearly",$J$4="Yearly"),SUM(N15,N24,N30:N31)))))</f>
        <v>27563</v>
      </c>
      <c r="O32" s="160">
        <f>IF(AND($J$3="Monthly",$J$4="Monthly"),SUM(O15,O19,O22,O24,O30:O31),IF(AND($J$3="Yearly",$J$4="Monthly"),SUM(O15,O22,O24,O30:O31),IF(AND($J$3="Monthly",$J$4="Yearly"),SUM(O15,O19,O24,O30:O31),IF(AND($J$3="Yearly",$J$4="Yearly"),SUM(O15,O24,O30:O31)))))</f>
        <v>28009.790065884616</v>
      </c>
      <c r="P32" s="162"/>
      <c r="Q32" s="163">
        <f>IF(AND($J$3="Monthly",$J$4="Monthly"),SUM(Q15,Q19,Q22,Q24,Q30:Q31),IF(AND($J$3="Yearly",$J$4="Monthly"),SUM(Q15,Q22,Q24,Q30:Q31),IF(AND($J$3="Monthly",$J$4="Yearly"),SUM(Q15,Q19,Q24,Q30:Q31),IF(AND($J$3="Yearly",$J$4="Yearly"),SUM(Q15,Q24,Q30:Q31)))))</f>
        <v>25402.57721638462</v>
      </c>
      <c r="R32" s="164">
        <f>IF(AND($J$3="Monthly",$J$4="Monthly"),SUM(R15,R19,R22,R24,R30:R31),IF(AND($J$3="Yearly",$J$4="Monthly"),SUM(R15,R22,R24,R30:R31),IF(AND($J$3="Monthly",$J$4="Yearly"),SUM(R15,R19,R24,R30:R31),IF(AND($J$3="Yearly",$J$4="Yearly"),SUM(R15,R24,R30:R31)))))</f>
        <v>21664</v>
      </c>
      <c r="S32" s="163">
        <f>IF(AND($J$3="Monthly",$J$4="Monthly"),SUM(S15,S19,S22,S24,S30:S31),IF(AND($J$3="Yearly",$J$4="Monthly"),SUM(S15,S22,S24,S30:S31),IF(AND($J$3="Monthly",$J$4="Yearly"),SUM(S15,S19,S24,S30:S31),IF(AND($J$3="Yearly",$J$4="Yearly"),SUM(S15,S24,S30:S31)))))</f>
        <v>22129.453440530768</v>
      </c>
      <c r="T32" s="164">
        <f>IF(AND($J$3="Monthly",$J$4="Monthly"),SUM(T15,T19,T22,T24,T30:T31),IF(AND($J$3="Yearly",$J$4="Monthly"),SUM(T15,T22,T24,T30:T31),IF(AND($J$3="Monthly",$J$4="Yearly"),SUM(T15,T19,T24,T30:T31),IF(AND($J$3="Yearly",$J$4="Yearly"),SUM(T15,T24,T30:T31)))))</f>
        <v>17462</v>
      </c>
      <c r="U32" s="163">
        <f>IF(AND($J$3="Monthly",$J$4="Monthly"),SUM(U15,U19,U22,U24,U30:U31),IF(AND($J$3="Yearly",$J$4="Monthly"),SUM(U15,U22,U24,U30:U31),IF(AND($J$3="Monthly",$J$4="Yearly"),SUM(U15,U19,U24,U30:U31),IF(AND($J$3="Yearly",$J$4="Yearly"),SUM(U15,U24,U30:U31)))))</f>
        <v>17999.632799338466</v>
      </c>
    </row>
    <row r="33" spans="1:21" ht="15" thickBot="1" x14ac:dyDescent="0.35">
      <c r="A33" s="25"/>
      <c r="B33" s="9"/>
      <c r="C33" s="10"/>
      <c r="D33" s="11"/>
      <c r="F33" s="25"/>
      <c r="G33" s="9"/>
      <c r="H33" s="10"/>
      <c r="I33" s="9"/>
      <c r="J33" s="10"/>
      <c r="K33" s="9"/>
      <c r="L33" s="10"/>
      <c r="M33" s="11"/>
      <c r="N33" s="9"/>
      <c r="O33" s="10"/>
      <c r="P33" s="104">
        <v>2</v>
      </c>
      <c r="Q33" s="10"/>
      <c r="R33" s="9"/>
      <c r="S33" s="10"/>
      <c r="T33" s="9"/>
      <c r="U33" s="10"/>
    </row>
    <row r="34" spans="1:21" ht="15" thickBot="1" x14ac:dyDescent="0.35">
      <c r="A34" s="69"/>
      <c r="B34" s="70"/>
      <c r="C34" s="70"/>
      <c r="D34" s="70"/>
      <c r="F34" s="26" t="s">
        <v>74</v>
      </c>
      <c r="G34" s="71">
        <v>1200</v>
      </c>
      <c r="H34" s="72">
        <v>1200</v>
      </c>
      <c r="I34" s="71">
        <v>1200</v>
      </c>
      <c r="J34" s="72">
        <v>1200</v>
      </c>
      <c r="K34" s="71">
        <v>1200</v>
      </c>
      <c r="L34" s="72">
        <v>1200</v>
      </c>
      <c r="M34" s="73"/>
      <c r="N34" s="71">
        <v>1200</v>
      </c>
      <c r="O34" s="72">
        <v>1200</v>
      </c>
      <c r="P34" s="107" t="e">
        <f>P28+#REF!</f>
        <v>#REF!</v>
      </c>
      <c r="Q34" s="106">
        <v>0</v>
      </c>
      <c r="R34" s="105"/>
      <c r="S34" s="106">
        <v>0</v>
      </c>
      <c r="T34" s="105"/>
      <c r="U34" s="106">
        <v>0</v>
      </c>
    </row>
    <row r="35" spans="1:21" s="68" customFormat="1" ht="15" thickBot="1" x14ac:dyDescent="0.35">
      <c r="F35" s="151" t="s">
        <v>72</v>
      </c>
      <c r="G35" s="152">
        <f>G29+G34</f>
        <v>35018</v>
      </c>
      <c r="H35" s="153">
        <f>H29+H34</f>
        <v>35550.859392665203</v>
      </c>
      <c r="I35" s="152">
        <f>I29+I34</f>
        <v>24942.95</v>
      </c>
      <c r="J35" s="153">
        <f>J29+J34</f>
        <v>25545.285089057081</v>
      </c>
      <c r="K35" s="152" t="e">
        <f>K29+K34</f>
        <v>#REF!</v>
      </c>
      <c r="L35" s="153">
        <f>L29+L34</f>
        <v>26529.643052286847</v>
      </c>
      <c r="M35" s="154"/>
      <c r="N35" s="152">
        <f>N29+N34</f>
        <v>36154.410000000003</v>
      </c>
      <c r="O35" s="153">
        <f>O29+O34</f>
        <v>36632.825370496532</v>
      </c>
      <c r="P35" s="155"/>
      <c r="Q35" s="156">
        <f>Q29+Q34</f>
        <v>32215.107621531544</v>
      </c>
      <c r="R35" s="157">
        <f>R29+R34</f>
        <v>28397.45</v>
      </c>
      <c r="S35" s="156">
        <f>S29+S34</f>
        <v>28942.285188677459</v>
      </c>
      <c r="T35" s="157">
        <f>T29+T34</f>
        <v>23743</v>
      </c>
      <c r="U35" s="156">
        <f>U29+U34</f>
        <v>24345.285089057081</v>
      </c>
    </row>
    <row r="36" spans="1:21" x14ac:dyDescent="0.3">
      <c r="Q36" s="68"/>
      <c r="R36" s="68"/>
      <c r="S36" s="68"/>
      <c r="T36" s="68"/>
      <c r="U36" s="68"/>
    </row>
  </sheetData>
  <mergeCells count="15">
    <mergeCell ref="N8:O8"/>
    <mergeCell ref="R8:S8"/>
    <mergeCell ref="T8:U8"/>
    <mergeCell ref="G5:H5"/>
    <mergeCell ref="J5:K5"/>
    <mergeCell ref="G8:H8"/>
    <mergeCell ref="I8:J8"/>
    <mergeCell ref="K8:M8"/>
    <mergeCell ref="F1:K2"/>
    <mergeCell ref="G3:H3"/>
    <mergeCell ref="J3:K3"/>
    <mergeCell ref="G4:H4"/>
    <mergeCell ref="J4:K4"/>
    <mergeCell ref="G6:H6"/>
    <mergeCell ref="J6:K6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6"/>
  <sheetViews>
    <sheetView showGridLines="0" tabSelected="1" topLeftCell="F8" zoomScale="70" zoomScaleNormal="70" workbookViewId="0">
      <selection activeCell="F25" sqref="F25"/>
    </sheetView>
  </sheetViews>
  <sheetFormatPr defaultColWidth="16.44140625" defaultRowHeight="14.4" x14ac:dyDescent="0.3"/>
  <cols>
    <col min="1" max="1" width="32.109375" hidden="1" customWidth="1"/>
    <col min="2" max="2" width="10.5546875" hidden="1" customWidth="1"/>
    <col min="3" max="3" width="14.5546875" hidden="1" customWidth="1"/>
    <col min="4" max="4" width="7" hidden="1" customWidth="1"/>
    <col min="5" max="5" width="9.109375" hidden="1" customWidth="1"/>
    <col min="6" max="6" width="32.109375" bestFit="1" customWidth="1"/>
    <col min="7" max="7" width="0" hidden="1" customWidth="1"/>
    <col min="9" max="9" width="0" hidden="1" customWidth="1"/>
  </cols>
  <sheetData>
    <row r="1" spans="1:14" hidden="1" x14ac:dyDescent="0.3">
      <c r="F1" s="95" t="s">
        <v>46</v>
      </c>
      <c r="G1" s="96"/>
      <c r="H1" s="96"/>
      <c r="I1" s="96"/>
      <c r="J1" s="96"/>
      <c r="K1" s="97"/>
      <c r="M1" s="1" t="s">
        <v>0</v>
      </c>
      <c r="N1" s="1" t="s">
        <v>1</v>
      </c>
    </row>
    <row r="2" spans="1:14" hidden="1" x14ac:dyDescent="0.3">
      <c r="F2" s="98"/>
      <c r="G2" s="99"/>
      <c r="H2" s="99"/>
      <c r="I2" s="99"/>
      <c r="J2" s="99"/>
      <c r="K2" s="100"/>
      <c r="M2" s="2" t="s">
        <v>2</v>
      </c>
      <c r="N2" s="2">
        <v>30</v>
      </c>
    </row>
    <row r="3" spans="1:14" hidden="1" x14ac:dyDescent="0.3">
      <c r="F3" s="3" t="s">
        <v>3</v>
      </c>
      <c r="G3" s="101" t="s">
        <v>43</v>
      </c>
      <c r="H3" s="102"/>
      <c r="I3" s="4" t="s">
        <v>4</v>
      </c>
      <c r="J3" s="101" t="s">
        <v>44</v>
      </c>
      <c r="K3" s="103"/>
      <c r="M3" s="2" t="s">
        <v>5</v>
      </c>
      <c r="N3" s="2">
        <v>10</v>
      </c>
    </row>
    <row r="4" spans="1:14" hidden="1" x14ac:dyDescent="0.3">
      <c r="F4" s="3" t="s">
        <v>6</v>
      </c>
      <c r="G4" s="101" t="s">
        <v>50</v>
      </c>
      <c r="H4" s="102"/>
      <c r="I4" s="4" t="s">
        <v>7</v>
      </c>
      <c r="J4" s="101" t="s">
        <v>44</v>
      </c>
      <c r="K4" s="103"/>
      <c r="M4" s="2" t="s">
        <v>8</v>
      </c>
      <c r="N4" s="2">
        <v>2</v>
      </c>
    </row>
    <row r="5" spans="1:14" hidden="1" x14ac:dyDescent="0.3">
      <c r="F5" s="3" t="s">
        <v>9</v>
      </c>
      <c r="G5" s="101">
        <v>4427500014</v>
      </c>
      <c r="H5" s="102"/>
      <c r="I5" s="4" t="s">
        <v>10</v>
      </c>
      <c r="J5" s="101" t="s">
        <v>48</v>
      </c>
      <c r="K5" s="103"/>
    </row>
    <row r="6" spans="1:14" ht="15" hidden="1" thickBot="1" x14ac:dyDescent="0.35">
      <c r="F6" s="5" t="s">
        <v>11</v>
      </c>
      <c r="G6" s="88" t="s">
        <v>12</v>
      </c>
      <c r="H6" s="89"/>
      <c r="I6" s="6" t="s">
        <v>13</v>
      </c>
      <c r="J6" s="88" t="s">
        <v>45</v>
      </c>
      <c r="K6" s="90"/>
    </row>
    <row r="7" spans="1:14" hidden="1" x14ac:dyDescent="0.3"/>
    <row r="8" spans="1:14" ht="15" thickBot="1" x14ac:dyDescent="0.35"/>
    <row r="9" spans="1:14" ht="15" thickBot="1" x14ac:dyDescent="0.35">
      <c r="B9" s="35"/>
      <c r="C9" s="35"/>
      <c r="D9" s="35"/>
      <c r="F9" s="118" t="s">
        <v>79</v>
      </c>
      <c r="G9" s="119" t="s">
        <v>56</v>
      </c>
      <c r="H9" s="120"/>
      <c r="I9" s="119" t="s">
        <v>91</v>
      </c>
      <c r="J9" s="120"/>
    </row>
    <row r="10" spans="1:14" x14ac:dyDescent="0.3">
      <c r="A10" s="8" t="s">
        <v>19</v>
      </c>
      <c r="B10" s="9"/>
      <c r="C10" s="10"/>
      <c r="D10" s="11">
        <f>C10-B10</f>
        <v>0</v>
      </c>
      <c r="F10" s="8" t="s">
        <v>19</v>
      </c>
      <c r="G10" s="9">
        <v>14021</v>
      </c>
      <c r="H10" s="10">
        <v>14021.27</v>
      </c>
      <c r="I10" s="9">
        <v>11588</v>
      </c>
      <c r="J10" s="10">
        <v>11588</v>
      </c>
    </row>
    <row r="11" spans="1:14" x14ac:dyDescent="0.3">
      <c r="A11" s="8" t="s">
        <v>20</v>
      </c>
      <c r="B11" s="9"/>
      <c r="C11" s="10"/>
      <c r="D11" s="11">
        <f>C11-B11</f>
        <v>0</v>
      </c>
      <c r="F11" s="8" t="s">
        <v>20</v>
      </c>
      <c r="G11" s="9">
        <v>1295</v>
      </c>
      <c r="H11" s="10">
        <v>1723.2</v>
      </c>
      <c r="I11" s="9">
        <v>1295</v>
      </c>
      <c r="J11" s="10">
        <v>1723.2</v>
      </c>
    </row>
    <row r="12" spans="1:14" x14ac:dyDescent="0.3">
      <c r="A12" s="8" t="s">
        <v>21</v>
      </c>
      <c r="B12" s="9"/>
      <c r="C12" s="10"/>
      <c r="D12" s="11">
        <f>C12-B12</f>
        <v>0</v>
      </c>
      <c r="F12" s="8" t="s">
        <v>21</v>
      </c>
      <c r="G12" s="9">
        <v>280</v>
      </c>
      <c r="H12" s="10">
        <v>0</v>
      </c>
      <c r="I12" s="9">
        <v>232</v>
      </c>
      <c r="J12" s="10">
        <v>0</v>
      </c>
    </row>
    <row r="13" spans="1:14" x14ac:dyDescent="0.3">
      <c r="A13" s="12" t="s">
        <v>22</v>
      </c>
      <c r="B13" s="13">
        <f>SUM(B10:B12)</f>
        <v>0</v>
      </c>
      <c r="C13" s="14">
        <f>SUM(C10:C12)</f>
        <v>0</v>
      </c>
      <c r="D13" s="15">
        <f>SUM(D10:D12)</f>
        <v>0</v>
      </c>
      <c r="F13" s="12" t="s">
        <v>22</v>
      </c>
      <c r="G13" s="13">
        <f>SUM(G10:G12)</f>
        <v>15596</v>
      </c>
      <c r="H13" s="14">
        <f>SUM(H10:H12)</f>
        <v>15744.470000000001</v>
      </c>
      <c r="I13" s="13">
        <f>SUM(I10:I12)</f>
        <v>13115</v>
      </c>
      <c r="J13" s="14">
        <f>SUM(J10:J12)</f>
        <v>13311.2</v>
      </c>
    </row>
    <row r="14" spans="1:14" x14ac:dyDescent="0.3">
      <c r="A14" s="8" t="s">
        <v>23</v>
      </c>
      <c r="B14" s="9"/>
      <c r="C14" s="10"/>
      <c r="D14" s="11">
        <f>C14-B14</f>
        <v>0</v>
      </c>
      <c r="F14" s="8" t="s">
        <v>23</v>
      </c>
      <c r="G14" s="9">
        <v>6130</v>
      </c>
      <c r="H14" s="9">
        <f>6130+280</f>
        <v>6410</v>
      </c>
      <c r="I14" s="9">
        <v>2471</v>
      </c>
      <c r="J14" s="9">
        <f>2471+232+508</f>
        <v>3211</v>
      </c>
    </row>
    <row r="15" spans="1:14" x14ac:dyDescent="0.3">
      <c r="A15" s="8" t="s">
        <v>24</v>
      </c>
      <c r="B15" s="9"/>
      <c r="C15" s="10" t="e">
        <f>SUM(C10:C11)*#REF!</f>
        <v>#REF!</v>
      </c>
      <c r="D15" s="11" t="e">
        <f>C15-B15</f>
        <v>#REF!</v>
      </c>
      <c r="F15" s="16" t="s">
        <v>92</v>
      </c>
      <c r="G15" s="9">
        <v>1560</v>
      </c>
      <c r="H15" s="74">
        <f>SUM(H10:H11)*10%</f>
        <v>1574.4470000000001</v>
      </c>
      <c r="I15" s="74">
        <f>SUM(I10:I11)*5%</f>
        <v>644.15000000000009</v>
      </c>
      <c r="J15" s="74">
        <f>SUM(J10:J11)*5%</f>
        <v>665.56000000000006</v>
      </c>
    </row>
    <row r="16" spans="1:14" x14ac:dyDescent="0.3">
      <c r="A16" s="12" t="s">
        <v>25</v>
      </c>
      <c r="B16" s="13">
        <f>SUM(B15,B13:B14)</f>
        <v>0</v>
      </c>
      <c r="C16" s="14" t="e">
        <f>SUM(C15,C13:C14)</f>
        <v>#REF!</v>
      </c>
      <c r="D16" s="15" t="e">
        <f>C16-B16</f>
        <v>#REF!</v>
      </c>
      <c r="F16" s="12" t="s">
        <v>25</v>
      </c>
      <c r="G16" s="13">
        <f>SUM(G15,G13:G14)</f>
        <v>23286</v>
      </c>
      <c r="H16" s="14">
        <f>SUM(H15,H13:H14)</f>
        <v>23728.917000000001</v>
      </c>
      <c r="I16" s="13">
        <f>SUM(I15,I13:I14)</f>
        <v>16230.15</v>
      </c>
      <c r="J16" s="14">
        <f>SUM(J15,J13:J14)</f>
        <v>17187.760000000002</v>
      </c>
    </row>
    <row r="17" spans="1:10" x14ac:dyDescent="0.3">
      <c r="A17" s="8" t="s">
        <v>26</v>
      </c>
      <c r="B17" s="9"/>
      <c r="C17" s="10">
        <f>B17</f>
        <v>0</v>
      </c>
      <c r="D17" s="11">
        <f>C17-B17</f>
        <v>0</v>
      </c>
      <c r="F17" s="8" t="s">
        <v>26</v>
      </c>
      <c r="G17" s="9">
        <v>750</v>
      </c>
      <c r="H17" s="10">
        <f>G17</f>
        <v>750</v>
      </c>
      <c r="I17" s="9">
        <v>0</v>
      </c>
      <c r="J17" s="10">
        <f>I17</f>
        <v>0</v>
      </c>
    </row>
    <row r="18" spans="1:10" x14ac:dyDescent="0.3">
      <c r="A18" s="8" t="s">
        <v>27</v>
      </c>
      <c r="B18" s="18"/>
      <c r="C18" s="10" t="e">
        <f>IF(C16&gt;21000,0,IF(AND($J$3="Monthly",$J$4="Monthly"),SUM(C16,C20,C23,C25)*3.25%,IF(AND($J$3="Yearly",$J$4="Monthly"),SUM(C16,C23,C25)*3.25%,IF(AND($J$3="Monthly",$J$4="Yearly"),SUM(C16,C20,C25)*3.25%,IF(AND($J$3="Yearly",$J$4="Yearly"),SUM(C16,C25)*3.25%,"Check")))))</f>
        <v>#REF!</v>
      </c>
      <c r="D18" s="11" t="e">
        <f>C18-B18</f>
        <v>#REF!</v>
      </c>
      <c r="F18" s="8" t="s">
        <v>27</v>
      </c>
      <c r="G18" s="18">
        <v>0</v>
      </c>
      <c r="H18" s="10">
        <f>IF(H16&gt;21000,0,IF(AND($J$3="Monthly",$J$4="Monthly"),SUM(H16,H20,H23,H25)*3.25%,IF(AND($J$3="Yearly",$J$4="Monthly"),SUM(H16,H23,H25)*3.25%,IF(AND($J$3="Monthly",$J$4="Yearly"),SUM(H16,H20,H25)*3.25%,IF(AND($J$3="Yearly",$J$4="Yearly"),SUM(H16,H25)*3.25%,"Check")))))</f>
        <v>0</v>
      </c>
      <c r="I18" s="10">
        <f>IF(I16&gt;21000,0,IF(AND($J$3="Monthly",$J$4="Monthly"),SUM(I16,I20,I23,I25)*3.25%,IF(AND($J$3="Yearly",$J$4="Monthly"),SUM(I16,I23,I25)*3.25%,IF(AND($J$3="Monthly",$J$4="Yearly"),SUM(I16,I20,I25)*3.25%,IF(AND($J$3="Yearly",$J$4="Yearly"),SUM(I16,I25)*3.25%,"Check")))))</f>
        <v>613.7046775</v>
      </c>
      <c r="J18" s="10">
        <f>IF(J16&gt;21000,0,IF(AND($J$3="Monthly",$J$4="Monthly"),SUM(J16,J20,J23,J25)*3.25%,IF(AND($J$3="Yearly",$J$4="Monthly"),SUM(J16,J23,J25)*3.25%,IF(AND($J$3="Monthly",$J$4="Yearly"),SUM(J16,J20,J25)*3.25%,IF(AND($J$3="Yearly",$J$4="Yearly"),SUM(J16,J25)*3.25%,"Check")))))</f>
        <v>648.35069620000013</v>
      </c>
    </row>
    <row r="19" spans="1:10" x14ac:dyDescent="0.3">
      <c r="A19" s="8" t="s">
        <v>28</v>
      </c>
      <c r="B19" s="9"/>
      <c r="C19" s="10" t="e">
        <f>IF($J$4="Monthly",MAX(IF((SUM(C16,C23,C25)-C15)&gt;=15000,1950,(SUM(C16,C23,C25)-C15)*13%),B19),IF(I6="Yearly",MAX(IF((SUM(C16,C25)-C15)&gt;=15000,1950,(SUM(C16,C25)-C15)*13%),B19),"Check"))</f>
        <v>#REF!</v>
      </c>
      <c r="D19" s="11" t="e">
        <f>C19-B19</f>
        <v>#REF!</v>
      </c>
      <c r="F19" s="8" t="s">
        <v>28</v>
      </c>
      <c r="G19" s="9">
        <v>1950</v>
      </c>
      <c r="H19" s="10">
        <f>IF($J$4="Monthly",MAX(IF((SUM(H16,H23,H25)-H15)&gt;=15000,1950,(SUM(H16,H23,H25)-H15)*13%),G19),IF(M6="Yearly",MAX(IF((SUM(H16,H25)-H15)&gt;=15000,1950,(SUM(H16,H25)-H15)*13%),G19),"Check"))</f>
        <v>1950</v>
      </c>
      <c r="I19" s="10" t="e">
        <f>IF($J$4="Monthly",MAX(IF((SUM(I16,I23,I25)-I15)&gt;=15000,1950,(SUM(I16,I23,I25)-I15)*13%),#REF!),IF(O6="Yearly",MAX(IF((SUM(I16,I25)-I15)&gt;=15000,1950,(SUM(I16,I25)-I15)*13%),#REF!),"Check"))</f>
        <v>#REF!</v>
      </c>
      <c r="J19" s="10">
        <v>1950</v>
      </c>
    </row>
    <row r="20" spans="1:10" x14ac:dyDescent="0.3">
      <c r="A20" s="8" t="s">
        <v>29</v>
      </c>
      <c r="B20" s="9"/>
      <c r="C20" s="10">
        <f>MAX(C13,7000)*8.33%</f>
        <v>583.1</v>
      </c>
      <c r="D20" s="11">
        <f>C20-B20</f>
        <v>583.1</v>
      </c>
      <c r="F20" s="8" t="s">
        <v>29</v>
      </c>
      <c r="G20" s="9">
        <v>1299</v>
      </c>
      <c r="H20" s="10">
        <f>MAX(H13,7000)*8.33%</f>
        <v>1311.514351</v>
      </c>
      <c r="I20" s="10">
        <f>MAX(I13,7000)*8.33%</f>
        <v>1092.4794999999999</v>
      </c>
      <c r="J20" s="10">
        <f>MAX(J13,7000)*8.33%</f>
        <v>1108.82296</v>
      </c>
    </row>
    <row r="21" spans="1:10" x14ac:dyDescent="0.3">
      <c r="A21" s="12" t="s">
        <v>30</v>
      </c>
      <c r="B21" s="13">
        <f>SUM(B16:B20)</f>
        <v>0</v>
      </c>
      <c r="C21" s="14" t="e">
        <f>SUM(C16:C20)</f>
        <v>#REF!</v>
      </c>
      <c r="D21" s="15" t="e">
        <f>C21-B21</f>
        <v>#REF!</v>
      </c>
      <c r="F21" s="12" t="s">
        <v>30</v>
      </c>
      <c r="G21" s="13">
        <f>SUM(G16:G20)</f>
        <v>27285</v>
      </c>
      <c r="H21" s="14">
        <f>SUM(H16:H20)</f>
        <v>27740.431351000003</v>
      </c>
      <c r="I21" s="13" t="e">
        <f>SUM(I16:I20)</f>
        <v>#REF!</v>
      </c>
      <c r="J21" s="14">
        <f>SUM(J16:J20)</f>
        <v>20894.933656200003</v>
      </c>
    </row>
    <row r="22" spans="1:10" x14ac:dyDescent="0.3">
      <c r="A22" s="8" t="s">
        <v>31</v>
      </c>
      <c r="B22" s="9"/>
      <c r="C22" s="10">
        <f>B22</f>
        <v>0</v>
      </c>
      <c r="D22" s="11">
        <f>C22-B22</f>
        <v>0</v>
      </c>
      <c r="F22" s="8" t="s">
        <v>31</v>
      </c>
      <c r="G22" s="9">
        <v>5</v>
      </c>
      <c r="H22" s="10">
        <f>G22</f>
        <v>5</v>
      </c>
      <c r="I22" s="9">
        <v>5</v>
      </c>
      <c r="J22" s="10">
        <f>I22</f>
        <v>5</v>
      </c>
    </row>
    <row r="23" spans="1:10" x14ac:dyDescent="0.3">
      <c r="A23" s="8" t="s">
        <v>32</v>
      </c>
      <c r="B23" s="9"/>
      <c r="C23" s="10" t="e">
        <f>(C16/26)*($N$2/12)</f>
        <v>#REF!</v>
      </c>
      <c r="D23" s="11" t="e">
        <f>C23-B23</f>
        <v>#REF!</v>
      </c>
      <c r="F23" s="8" t="s">
        <v>32</v>
      </c>
      <c r="G23" s="9">
        <v>2231</v>
      </c>
      <c r="H23" s="10">
        <f>(H16/26)*($N$2/12)</f>
        <v>2281.6266346153848</v>
      </c>
      <c r="I23" s="10">
        <f>(I16/26)*($N$2/12)</f>
        <v>1560.5913461538462</v>
      </c>
      <c r="J23" s="10">
        <f>(J16/26)*($N$2/12)</f>
        <v>1652.669230769231</v>
      </c>
    </row>
    <row r="24" spans="1:10" x14ac:dyDescent="0.3">
      <c r="A24" s="16" t="s">
        <v>33</v>
      </c>
      <c r="B24" s="19"/>
      <c r="C24" s="20"/>
      <c r="D24" s="17"/>
      <c r="F24" s="16" t="s">
        <v>93</v>
      </c>
      <c r="G24" s="19">
        <v>0</v>
      </c>
      <c r="H24" s="20" t="s">
        <v>48</v>
      </c>
      <c r="I24" s="19"/>
      <c r="J24" s="20" t="s">
        <v>48</v>
      </c>
    </row>
    <row r="25" spans="1:10" x14ac:dyDescent="0.3">
      <c r="A25" s="8" t="s">
        <v>34</v>
      </c>
      <c r="B25" s="9"/>
      <c r="C25" s="10">
        <f>IF(C24="Yes",((C16/26)*($N$3/12))*$N$4,0)</f>
        <v>0</v>
      </c>
      <c r="D25" s="11">
        <f>C25-B25</f>
        <v>0</v>
      </c>
      <c r="F25" s="8" t="s">
        <v>34</v>
      </c>
      <c r="G25" s="9">
        <v>0</v>
      </c>
      <c r="H25" s="10">
        <f>IF(H24="Yes",((H16/26)*($N$3/12))*$N$4,0)</f>
        <v>0</v>
      </c>
      <c r="I25" s="9">
        <v>0</v>
      </c>
      <c r="J25" s="10">
        <f>IF(J24="Yes",((J16/26)*($N$3/12))*$N$4,0)</f>
        <v>0</v>
      </c>
    </row>
    <row r="26" spans="1:10" x14ac:dyDescent="0.3">
      <c r="A26" s="8" t="s">
        <v>35</v>
      </c>
      <c r="B26" s="9"/>
      <c r="C26" s="10">
        <f>B26</f>
        <v>0</v>
      </c>
      <c r="D26" s="11">
        <f>C26-B26</f>
        <v>0</v>
      </c>
      <c r="F26" s="8" t="s">
        <v>35</v>
      </c>
      <c r="G26" s="9">
        <v>200</v>
      </c>
      <c r="H26" s="10">
        <f>G26</f>
        <v>200</v>
      </c>
      <c r="I26" s="9">
        <v>200</v>
      </c>
      <c r="J26" s="10">
        <f>I26</f>
        <v>200</v>
      </c>
    </row>
    <row r="27" spans="1:10" x14ac:dyDescent="0.3">
      <c r="A27" s="12" t="s">
        <v>36</v>
      </c>
      <c r="B27" s="13">
        <f>SUM(B25:B26,B21:B23)</f>
        <v>0</v>
      </c>
      <c r="C27" s="14" t="e">
        <f>SUM(C25:C26,C21:C23)</f>
        <v>#REF!</v>
      </c>
      <c r="D27" s="15" t="e">
        <f>C27-B27</f>
        <v>#REF!</v>
      </c>
      <c r="F27" s="12" t="s">
        <v>36</v>
      </c>
      <c r="G27" s="13">
        <f>SUM(G25:G26,G21:G23)</f>
        <v>29721</v>
      </c>
      <c r="H27" s="14">
        <f>SUM(H25:H26,H21:H23)</f>
        <v>30227.057985615389</v>
      </c>
      <c r="I27" s="13" t="e">
        <f>SUM(I25:I26,I21:I23)</f>
        <v>#REF!</v>
      </c>
      <c r="J27" s="14">
        <f>SUM(J25:J26,J21:J23)</f>
        <v>22752.602886969235</v>
      </c>
    </row>
    <row r="28" spans="1:10" x14ac:dyDescent="0.3">
      <c r="A28" s="21" t="s">
        <v>37</v>
      </c>
      <c r="B28" s="22"/>
      <c r="C28" s="23"/>
      <c r="D28" s="24">
        <f>C28-B28</f>
        <v>0</v>
      </c>
      <c r="F28" s="136" t="s">
        <v>37</v>
      </c>
      <c r="G28" s="131"/>
      <c r="H28" s="144">
        <v>7.0000000000000007E-2</v>
      </c>
      <c r="I28" s="131"/>
      <c r="J28" s="144">
        <v>7.0000000000000007E-2</v>
      </c>
    </row>
    <row r="29" spans="1:10" x14ac:dyDescent="0.3">
      <c r="A29" s="8" t="s">
        <v>13</v>
      </c>
      <c r="B29" s="9"/>
      <c r="C29" s="10" t="e">
        <f>IF($J$6="Fixed Amount",B29,#REF!*C28)</f>
        <v>#REF!</v>
      </c>
      <c r="D29" s="11" t="e">
        <f>C29-B29</f>
        <v>#REF!</v>
      </c>
      <c r="F29" s="146" t="s">
        <v>13</v>
      </c>
      <c r="G29" s="145">
        <v>2074.3100000000004</v>
      </c>
      <c r="H29" s="147">
        <f>IF($J$6="Fixed Amount",G29,H27*H28)</f>
        <v>2115.8940589930776</v>
      </c>
      <c r="I29" s="145">
        <v>1517</v>
      </c>
      <c r="J29" s="147">
        <f>IF($J$6="Fixed Amount",I29,J27*J28)</f>
        <v>1592.6822020878465</v>
      </c>
    </row>
    <row r="30" spans="1:10" x14ac:dyDescent="0.3">
      <c r="A30" s="12" t="s">
        <v>38</v>
      </c>
      <c r="B30" s="13" t="e">
        <f>SUM(B29,#REF!)</f>
        <v>#REF!</v>
      </c>
      <c r="C30" s="14" t="e">
        <f>SUM(C29,#REF!)</f>
        <v>#REF!</v>
      </c>
      <c r="D30" s="15" t="e">
        <f>C30-B30</f>
        <v>#REF!</v>
      </c>
      <c r="F30" s="126" t="s">
        <v>38</v>
      </c>
      <c r="G30" s="127">
        <f>SUM(G29,G27)</f>
        <v>31795.31</v>
      </c>
      <c r="H30" s="128">
        <f>SUM(H29,H27)</f>
        <v>32342.952044608468</v>
      </c>
      <c r="I30" s="127" t="e">
        <f>SUM(I29,I27)</f>
        <v>#REF!</v>
      </c>
      <c r="J30" s="128">
        <f>SUM(J29,J27)</f>
        <v>24345.285089057081</v>
      </c>
    </row>
    <row r="31" spans="1:10" x14ac:dyDescent="0.3">
      <c r="A31" s="8" t="s">
        <v>39</v>
      </c>
      <c r="B31" s="9"/>
      <c r="C31" s="10" t="e">
        <f>(0.75%*C18/3.25%)*-1</f>
        <v>#REF!</v>
      </c>
      <c r="D31" s="11" t="e">
        <f>C31-B31</f>
        <v>#REF!</v>
      </c>
      <c r="F31" s="8" t="s">
        <v>39</v>
      </c>
      <c r="G31" s="9">
        <v>0</v>
      </c>
      <c r="H31" s="10">
        <f>(0.75%*H18/3.25%)*-1</f>
        <v>0</v>
      </c>
      <c r="I31" s="9">
        <v>-176</v>
      </c>
      <c r="J31" s="10">
        <f>(0.75%*J18/3.25%)*-1</f>
        <v>-149.61939143076924</v>
      </c>
    </row>
    <row r="32" spans="1:10" x14ac:dyDescent="0.3">
      <c r="A32" s="8" t="s">
        <v>40</v>
      </c>
      <c r="B32" s="9"/>
      <c r="C32" s="10" t="e">
        <f>MIN(IF(C19=1950,1800,12%*C19/13%)*-1,B32)</f>
        <v>#REF!</v>
      </c>
      <c r="D32" s="11" t="e">
        <f>C32-B32</f>
        <v>#REF!</v>
      </c>
      <c r="F32" s="8" t="s">
        <v>40</v>
      </c>
      <c r="G32" s="9">
        <v>-1800</v>
      </c>
      <c r="H32" s="10">
        <f>MIN(IF(H19=1950,1800,12%*H19/13%)*-1,G32)</f>
        <v>-1800</v>
      </c>
      <c r="I32" s="9">
        <v>-1800</v>
      </c>
      <c r="J32" s="10">
        <f>MIN(IF(J19=1950,1800,12%*J19/13%)*-1,I32)</f>
        <v>-1800</v>
      </c>
    </row>
    <row r="33" spans="1:10" x14ac:dyDescent="0.3">
      <c r="A33" s="12" t="s">
        <v>41</v>
      </c>
      <c r="B33" s="13">
        <f>IF(AND($J$3="Monthly",$J$4="Monthly"),SUM(B16,B20,B23,B25,B31:B32),IF(AND($J$3="Yearly",$J$4="Monthly"),SUM(B16,B23,B25,B31:B32),IF(AND($J$3="Monthly",$J$4="Yearly"),SUM(B16,B20,B25,B31:B32),IF(AND($J$3="Yearly",$J$4="Yearly"),SUM(B16,B25,B31:B32)))))</f>
        <v>0</v>
      </c>
      <c r="C33" s="14" t="e">
        <f>IF(AND($J$3="Monthly",$J$4="Monthly"),SUM(C16,C20,C23,C25,C31:C32),IF(AND($J$3="Yearly",$J$4="Monthly"),SUM(C16,C23,C25,C31:C32),IF(AND($J$3="Monthly",$J$4="Yearly"),SUM(C16,C20,C25,C31:C32),IF(AND($J$3="Yearly",$J$4="Yearly"),SUM(C16,C25,C31:C32)))))</f>
        <v>#REF!</v>
      </c>
      <c r="D33" s="15" t="e">
        <f>C33-B33</f>
        <v>#REF!</v>
      </c>
      <c r="F33" s="165" t="s">
        <v>41</v>
      </c>
      <c r="G33" s="164">
        <f>IF(AND($J$3="Monthly",$J$4="Monthly"),SUM(G16,G20,G23,G25,G31:G32),IF(AND($J$3="Yearly",$J$4="Monthly"),SUM(G16,G23,G25,G31:G32),IF(AND($J$3="Monthly",$J$4="Yearly"),SUM(G16,G20,G25,G31:G32),IF(AND($J$3="Yearly",$J$4="Yearly"),SUM(G16,G25,G31:G32)))))</f>
        <v>25016</v>
      </c>
      <c r="H33" s="163">
        <f>IF(AND($J$3="Monthly",$J$4="Monthly"),SUM(H16,H20,H23,H25,H31:H32),IF(AND($J$3="Yearly",$J$4="Monthly"),SUM(H16,H23,H25,H31:H32),IF(AND($J$3="Monthly",$J$4="Yearly"),SUM(H16,H20,H25,H31:H32),IF(AND($J$3="Yearly",$J$4="Yearly"),SUM(H16,H25,H31:H32)))))</f>
        <v>25522.057985615389</v>
      </c>
      <c r="I33" s="164">
        <f>IF(AND($J$3="Monthly",$J$4="Monthly"),SUM(I16,I20,I23,I25,I31:I32),IF(AND($J$3="Yearly",$J$4="Monthly"),SUM(I16,I23,I25,I31:I32),IF(AND($J$3="Monthly",$J$4="Yearly"),SUM(I16,I20,I25,I31:I32),IF(AND($J$3="Yearly",$J$4="Yearly"),SUM(I16,I25,I31:I32)))))</f>
        <v>16907.220846153847</v>
      </c>
      <c r="J33" s="163">
        <f>IF(AND($J$3="Monthly",$J$4="Monthly"),SUM(J16,J20,J23,J25,J31:J32),IF(AND($J$3="Yearly",$J$4="Monthly"),SUM(J16,J23,J25,J31:J32),IF(AND($J$3="Monthly",$J$4="Yearly"),SUM(J16,J20,J25,J31:J32),IF(AND($J$3="Yearly",$J$4="Yearly"),SUM(J16,J25,J31:J32)))))</f>
        <v>17999.632799338466</v>
      </c>
    </row>
    <row r="35" spans="1:10" x14ac:dyDescent="0.3">
      <c r="G35" s="43"/>
    </row>
    <row r="36" spans="1:10" x14ac:dyDescent="0.3">
      <c r="I36" s="43"/>
    </row>
  </sheetData>
  <mergeCells count="11">
    <mergeCell ref="G5:H5"/>
    <mergeCell ref="J5:K5"/>
    <mergeCell ref="G9:H9"/>
    <mergeCell ref="I9:J9"/>
    <mergeCell ref="F1:K2"/>
    <mergeCell ref="G3:H3"/>
    <mergeCell ref="J3:K3"/>
    <mergeCell ref="G4:H4"/>
    <mergeCell ref="J4:K4"/>
    <mergeCell ref="G6:H6"/>
    <mergeCell ref="J6:K6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P40"/>
  <sheetViews>
    <sheetView showGridLines="0" topLeftCell="F1" zoomScale="70" zoomScaleNormal="70" workbookViewId="0">
      <selection activeCell="K16" sqref="K16"/>
    </sheetView>
  </sheetViews>
  <sheetFormatPr defaultColWidth="16.44140625" defaultRowHeight="14.4" x14ac:dyDescent="0.3"/>
  <cols>
    <col min="1" max="1" width="32.109375" hidden="1" customWidth="1"/>
    <col min="2" max="2" width="10.5546875" hidden="1" customWidth="1"/>
    <col min="3" max="3" width="14.5546875" hidden="1" customWidth="1"/>
    <col min="4" max="4" width="7" hidden="1" customWidth="1"/>
    <col min="5" max="5" width="9.109375" hidden="1" customWidth="1"/>
    <col min="6" max="6" width="32.109375" bestFit="1" customWidth="1"/>
  </cols>
  <sheetData>
    <row r="1" spans="1:16" x14ac:dyDescent="0.3">
      <c r="F1" s="95" t="s">
        <v>46</v>
      </c>
      <c r="G1" s="96"/>
      <c r="H1" s="96"/>
      <c r="I1" s="96"/>
      <c r="J1" s="96"/>
      <c r="K1" s="96"/>
      <c r="L1" s="96"/>
      <c r="M1" s="97"/>
      <c r="O1" s="1" t="s">
        <v>0</v>
      </c>
      <c r="P1" s="1" t="s">
        <v>1</v>
      </c>
    </row>
    <row r="2" spans="1:16" x14ac:dyDescent="0.3">
      <c r="F2" s="98"/>
      <c r="G2" s="99"/>
      <c r="H2" s="99"/>
      <c r="I2" s="99"/>
      <c r="J2" s="99"/>
      <c r="K2" s="99"/>
      <c r="L2" s="99"/>
      <c r="M2" s="100"/>
      <c r="O2" s="2" t="s">
        <v>2</v>
      </c>
      <c r="P2" s="2">
        <v>30</v>
      </c>
    </row>
    <row r="3" spans="1:16" x14ac:dyDescent="0.3">
      <c r="F3" s="3" t="s">
        <v>3</v>
      </c>
      <c r="G3" s="101" t="s">
        <v>43</v>
      </c>
      <c r="H3" s="102"/>
      <c r="I3" s="103"/>
      <c r="J3" s="4" t="s">
        <v>4</v>
      </c>
      <c r="K3" s="101" t="s">
        <v>44</v>
      </c>
      <c r="L3" s="102"/>
      <c r="M3" s="103"/>
      <c r="O3" s="2" t="s">
        <v>5</v>
      </c>
      <c r="P3" s="2">
        <v>10</v>
      </c>
    </row>
    <row r="4" spans="1:16" x14ac:dyDescent="0.3">
      <c r="F4" s="3" t="s">
        <v>6</v>
      </c>
      <c r="G4" s="101" t="s">
        <v>50</v>
      </c>
      <c r="H4" s="102"/>
      <c r="I4" s="103"/>
      <c r="J4" s="4" t="s">
        <v>7</v>
      </c>
      <c r="K4" s="101" t="s">
        <v>44</v>
      </c>
      <c r="L4" s="102"/>
      <c r="M4" s="103"/>
      <c r="O4" s="2" t="s">
        <v>8</v>
      </c>
      <c r="P4" s="2">
        <v>2</v>
      </c>
    </row>
    <row r="5" spans="1:16" x14ac:dyDescent="0.3">
      <c r="F5" s="3" t="s">
        <v>9</v>
      </c>
      <c r="G5" s="101">
        <v>4427500014</v>
      </c>
      <c r="H5" s="102"/>
      <c r="I5" s="103"/>
      <c r="J5" s="4" t="s">
        <v>10</v>
      </c>
      <c r="K5" s="101" t="s">
        <v>48</v>
      </c>
      <c r="L5" s="102"/>
      <c r="M5" s="103"/>
    </row>
    <row r="6" spans="1:16" ht="15" thickBot="1" x14ac:dyDescent="0.35">
      <c r="F6" s="5" t="s">
        <v>11</v>
      </c>
      <c r="G6" s="88" t="s">
        <v>12</v>
      </c>
      <c r="H6" s="89"/>
      <c r="I6" s="90"/>
      <c r="J6" s="6" t="s">
        <v>13</v>
      </c>
      <c r="K6" s="88" t="s">
        <v>45</v>
      </c>
      <c r="L6" s="89"/>
      <c r="M6" s="90"/>
    </row>
    <row r="8" spans="1:16" ht="15" thickBot="1" x14ac:dyDescent="0.35"/>
    <row r="9" spans="1:16" ht="15" thickBot="1" x14ac:dyDescent="0.35">
      <c r="B9" s="91"/>
      <c r="C9" s="92"/>
      <c r="D9" s="93"/>
      <c r="F9" s="7" t="s">
        <v>14</v>
      </c>
      <c r="G9" s="91" t="s">
        <v>49</v>
      </c>
      <c r="H9" s="92"/>
      <c r="I9" s="93"/>
      <c r="J9" s="91" t="s">
        <v>49</v>
      </c>
      <c r="K9" s="92"/>
      <c r="L9" s="93"/>
    </row>
    <row r="10" spans="1:16" ht="15" thickBot="1" x14ac:dyDescent="0.35">
      <c r="B10" s="35"/>
      <c r="C10" s="35"/>
      <c r="D10" s="35"/>
      <c r="F10" s="42" t="s">
        <v>79</v>
      </c>
      <c r="G10" s="94" t="s">
        <v>56</v>
      </c>
      <c r="H10" s="86"/>
      <c r="I10" s="87"/>
      <c r="J10" s="94" t="s">
        <v>57</v>
      </c>
      <c r="K10" s="86"/>
      <c r="L10" s="87"/>
    </row>
    <row r="11" spans="1:16" s="37" customFormat="1" ht="43.2" x14ac:dyDescent="0.3">
      <c r="A11" s="36" t="s">
        <v>15</v>
      </c>
      <c r="B11" s="36" t="s">
        <v>16</v>
      </c>
      <c r="C11" s="36" t="s">
        <v>17</v>
      </c>
      <c r="D11" s="36" t="s">
        <v>18</v>
      </c>
      <c r="F11" s="36" t="s">
        <v>15</v>
      </c>
      <c r="G11" s="40" t="s">
        <v>54</v>
      </c>
      <c r="H11" s="41" t="s">
        <v>55</v>
      </c>
      <c r="I11" s="36" t="s">
        <v>18</v>
      </c>
      <c r="J11" s="40" t="s">
        <v>54</v>
      </c>
      <c r="K11" s="41" t="s">
        <v>55</v>
      </c>
      <c r="L11" s="36" t="s">
        <v>18</v>
      </c>
    </row>
    <row r="12" spans="1:16" x14ac:dyDescent="0.3">
      <c r="A12" s="8" t="s">
        <v>19</v>
      </c>
      <c r="B12" s="9"/>
      <c r="C12" s="10"/>
      <c r="D12" s="11">
        <f>C12-B12</f>
        <v>0</v>
      </c>
      <c r="F12" s="8" t="s">
        <v>19</v>
      </c>
      <c r="G12" s="9">
        <v>14021</v>
      </c>
      <c r="H12" s="10">
        <v>14021.27</v>
      </c>
      <c r="I12" s="11">
        <f>H12-G12</f>
        <v>0.27000000000043656</v>
      </c>
      <c r="J12" s="9">
        <v>11588</v>
      </c>
      <c r="K12" s="10">
        <v>11588</v>
      </c>
      <c r="L12" s="11">
        <f>K12-J12</f>
        <v>0</v>
      </c>
    </row>
    <row r="13" spans="1:16" x14ac:dyDescent="0.3">
      <c r="A13" s="8" t="s">
        <v>20</v>
      </c>
      <c r="B13" s="9"/>
      <c r="C13" s="10"/>
      <c r="D13" s="11">
        <f>C13-B13</f>
        <v>0</v>
      </c>
      <c r="F13" s="8" t="s">
        <v>20</v>
      </c>
      <c r="G13" s="9">
        <v>1295</v>
      </c>
      <c r="H13" s="10">
        <v>1723.2</v>
      </c>
      <c r="I13" s="11">
        <f>H13-G13</f>
        <v>428.20000000000005</v>
      </c>
      <c r="J13" s="9">
        <v>1295</v>
      </c>
      <c r="K13" s="10">
        <v>1723.2</v>
      </c>
      <c r="L13" s="11">
        <f>K13-J13</f>
        <v>428.20000000000005</v>
      </c>
    </row>
    <row r="14" spans="1:16" x14ac:dyDescent="0.3">
      <c r="A14" s="8" t="s">
        <v>21</v>
      </c>
      <c r="B14" s="9"/>
      <c r="C14" s="10"/>
      <c r="D14" s="11">
        <f>C14-B14</f>
        <v>0</v>
      </c>
      <c r="F14" s="8" t="s">
        <v>21</v>
      </c>
      <c r="G14" s="9">
        <v>280</v>
      </c>
      <c r="H14" s="10">
        <v>0</v>
      </c>
      <c r="I14" s="11">
        <f>H14-G14</f>
        <v>-280</v>
      </c>
      <c r="J14" s="9">
        <v>232</v>
      </c>
      <c r="K14" s="10">
        <v>0</v>
      </c>
      <c r="L14" s="11">
        <f>K14-J14</f>
        <v>-232</v>
      </c>
    </row>
    <row r="15" spans="1:16" x14ac:dyDescent="0.3">
      <c r="A15" s="12" t="s">
        <v>22</v>
      </c>
      <c r="B15" s="13">
        <f>SUM(B12:B14)</f>
        <v>0</v>
      </c>
      <c r="C15" s="14">
        <f>SUM(C12:C14)</f>
        <v>0</v>
      </c>
      <c r="D15" s="15">
        <f>SUM(D12:D14)</f>
        <v>0</v>
      </c>
      <c r="F15" s="12" t="s">
        <v>22</v>
      </c>
      <c r="G15" s="13">
        <f t="shared" ref="G15:L15" si="0">SUM(G12:G14)</f>
        <v>15596</v>
      </c>
      <c r="H15" s="14">
        <f t="shared" si="0"/>
        <v>15744.470000000001</v>
      </c>
      <c r="I15" s="15">
        <f t="shared" si="0"/>
        <v>148.47000000000048</v>
      </c>
      <c r="J15" s="13">
        <f t="shared" si="0"/>
        <v>13115</v>
      </c>
      <c r="K15" s="14">
        <f t="shared" si="0"/>
        <v>13311.2</v>
      </c>
      <c r="L15" s="15">
        <f t="shared" si="0"/>
        <v>196.20000000000005</v>
      </c>
    </row>
    <row r="16" spans="1:16" x14ac:dyDescent="0.3">
      <c r="A16" s="8" t="s">
        <v>23</v>
      </c>
      <c r="B16" s="9"/>
      <c r="C16" s="10"/>
      <c r="D16" s="11">
        <f t="shared" ref="D16:D35" si="1">C16-B16</f>
        <v>0</v>
      </c>
      <c r="F16" s="8" t="s">
        <v>23</v>
      </c>
      <c r="G16" s="9">
        <v>6130</v>
      </c>
      <c r="H16" s="9">
        <f>6130+280</f>
        <v>6410</v>
      </c>
      <c r="I16" s="11">
        <f t="shared" ref="I16" si="2">H16-G16</f>
        <v>280</v>
      </c>
      <c r="J16" s="9">
        <v>2471</v>
      </c>
      <c r="K16" s="9">
        <f>2471+232+508</f>
        <v>3211</v>
      </c>
      <c r="L16" s="11">
        <f t="shared" ref="L16" si="3">K16-J16</f>
        <v>740</v>
      </c>
    </row>
    <row r="17" spans="1:12" x14ac:dyDescent="0.3">
      <c r="A17" s="8" t="s">
        <v>24</v>
      </c>
      <c r="B17" s="9"/>
      <c r="C17" s="10" t="e">
        <f>SUM(C12:C13)*#REF!</f>
        <v>#REF!</v>
      </c>
      <c r="D17" s="11" t="e">
        <f t="shared" si="1"/>
        <v>#REF!</v>
      </c>
      <c r="F17" s="16" t="s">
        <v>75</v>
      </c>
      <c r="G17" s="9">
        <v>1560</v>
      </c>
      <c r="H17" s="74">
        <f>SUM(H12:H13)*10%</f>
        <v>1574.4470000000001</v>
      </c>
      <c r="I17" s="11">
        <f t="shared" ref="I17:I25" si="4">H17-G17</f>
        <v>14.447000000000116</v>
      </c>
      <c r="J17" s="74">
        <f>SUM(J12:J13)*5%</f>
        <v>644.15000000000009</v>
      </c>
      <c r="K17" s="74">
        <f>SUM(K12:K13)*5%</f>
        <v>665.56000000000006</v>
      </c>
      <c r="L17" s="11">
        <f t="shared" ref="L17:L25" si="5">K17-J17</f>
        <v>21.409999999999968</v>
      </c>
    </row>
    <row r="18" spans="1:12" x14ac:dyDescent="0.3">
      <c r="A18" s="12" t="s">
        <v>25</v>
      </c>
      <c r="B18" s="13">
        <f>SUM(B17,B15:B16)</f>
        <v>0</v>
      </c>
      <c r="C18" s="14" t="e">
        <f>SUM(C17,C15:C16)</f>
        <v>#REF!</v>
      </c>
      <c r="D18" s="15" t="e">
        <f t="shared" si="1"/>
        <v>#REF!</v>
      </c>
      <c r="F18" s="12" t="s">
        <v>25</v>
      </c>
      <c r="G18" s="13">
        <f>SUM(G17,G15:G16)</f>
        <v>23286</v>
      </c>
      <c r="H18" s="14">
        <f>SUM(H17,H15:H16)</f>
        <v>23728.917000000001</v>
      </c>
      <c r="I18" s="15">
        <f t="shared" si="4"/>
        <v>442.91700000000128</v>
      </c>
      <c r="J18" s="13">
        <f>SUM(J17,J15:J16)</f>
        <v>16230.15</v>
      </c>
      <c r="K18" s="14">
        <f>SUM(K17,K15:K16)</f>
        <v>17187.760000000002</v>
      </c>
      <c r="L18" s="15">
        <f t="shared" si="5"/>
        <v>957.6100000000024</v>
      </c>
    </row>
    <row r="19" spans="1:12" x14ac:dyDescent="0.3">
      <c r="A19" s="8" t="s">
        <v>26</v>
      </c>
      <c r="B19" s="9"/>
      <c r="C19" s="10">
        <f>B19</f>
        <v>0</v>
      </c>
      <c r="D19" s="11">
        <f t="shared" si="1"/>
        <v>0</v>
      </c>
      <c r="F19" s="8" t="s">
        <v>26</v>
      </c>
      <c r="G19" s="9">
        <v>750</v>
      </c>
      <c r="H19" s="10">
        <f>G19</f>
        <v>750</v>
      </c>
      <c r="I19" s="11">
        <f t="shared" si="4"/>
        <v>0</v>
      </c>
      <c r="J19" s="9">
        <v>0</v>
      </c>
      <c r="K19" s="10">
        <f>J19</f>
        <v>0</v>
      </c>
      <c r="L19" s="11">
        <f t="shared" si="5"/>
        <v>0</v>
      </c>
    </row>
    <row r="20" spans="1:12" x14ac:dyDescent="0.3">
      <c r="A20" s="8" t="s">
        <v>27</v>
      </c>
      <c r="B20" s="18"/>
      <c r="C20" s="10" t="e">
        <f>IF(C18&gt;21000,0,IF(AND($K$3="Monthly",$K$4="Monthly"),SUM(C18,C22,C25,C27)*3.25%,IF(AND($K$3="Yearly",$K$4="Monthly"),SUM(C18,C25,C27)*3.25%,IF(AND($K$3="Monthly",$K$4="Yearly"),SUM(C18,C22,C27)*3.25%,IF(AND($K$3="Yearly",$K$4="Yearly"),SUM(C18,C27)*3.25%,"Check")))))</f>
        <v>#REF!</v>
      </c>
      <c r="D20" s="11" t="e">
        <f t="shared" si="1"/>
        <v>#REF!</v>
      </c>
      <c r="F20" s="8" t="s">
        <v>27</v>
      </c>
      <c r="G20" s="18">
        <v>0</v>
      </c>
      <c r="H20" s="10">
        <f>IF(H18&gt;21000,0,IF(AND($K$3="Monthly",$K$4="Monthly"),SUM(H18,H22,H25,H27)*3.25%,IF(AND($K$3="Yearly",$K$4="Monthly"),SUM(H18,H25,H27)*3.25%,IF(AND($K$3="Monthly",$K$4="Yearly"),SUM(H18,H22,H27)*3.25%,IF(AND($K$3="Yearly",$K$4="Yearly"),SUM(H18,H27)*3.25%,"Check")))))</f>
        <v>0</v>
      </c>
      <c r="I20" s="11">
        <f t="shared" si="4"/>
        <v>0</v>
      </c>
      <c r="J20" s="10">
        <f>IF(J18&gt;21000,0,IF(AND($K$3="Monthly",$K$4="Monthly"),SUM(J18,J22,J25,J27)*3.25%,IF(AND($K$3="Yearly",$K$4="Monthly"),SUM(J18,J25,J27)*3.25%,IF(AND($K$3="Monthly",$K$4="Yearly"),SUM(J18,J22,J27)*3.25%,IF(AND($K$3="Yearly",$K$4="Yearly"),SUM(J18,J27)*3.25%,"Check")))))</f>
        <v>613.7046775</v>
      </c>
      <c r="K20" s="10">
        <f>IF(K18&gt;21000,0,IF(AND($K$3="Monthly",$K$4="Monthly"),SUM(K18,K22,K25,K27)*3.25%,IF(AND($K$3="Yearly",$K$4="Monthly"),SUM(K18,K25,K27)*3.25%,IF(AND($K$3="Monthly",$K$4="Yearly"),SUM(K18,K22,K27)*3.25%,IF(AND($K$3="Yearly",$K$4="Yearly"),SUM(K18,K27)*3.25%,"Check")))))</f>
        <v>648.35069620000013</v>
      </c>
      <c r="L20" s="11">
        <f t="shared" si="5"/>
        <v>34.646018700000127</v>
      </c>
    </row>
    <row r="21" spans="1:12" x14ac:dyDescent="0.3">
      <c r="A21" s="8" t="s">
        <v>28</v>
      </c>
      <c r="B21" s="9"/>
      <c r="C21" s="10" t="e">
        <f>IF($K$4="Monthly",MAX(IF((SUM(C18,C25,C27)-C17)&gt;=15000,1950,(SUM(C18,C25,C27)-C17)*13%),B21),IF(J6="Yearly",MAX(IF((SUM(C18,C27)-C17)&gt;=15000,1950,(SUM(C18,C27)-C17)*13%),B21),"Check"))</f>
        <v>#REF!</v>
      </c>
      <c r="D21" s="11" t="e">
        <f t="shared" si="1"/>
        <v>#REF!</v>
      </c>
      <c r="F21" s="8" t="s">
        <v>28</v>
      </c>
      <c r="G21" s="9">
        <v>1950</v>
      </c>
      <c r="H21" s="10">
        <f>IF($K$4="Monthly",MAX(IF((SUM(H18,H25,H27)-H17)&gt;=15000,1950,(SUM(H18,H25,H27)-H17)*13%),G21),IF(O6="Yearly",MAX(IF((SUM(H18,H27)-H17)&gt;=15000,1950,(SUM(H18,H27)-H17)*13%),G21),"Check"))</f>
        <v>1950</v>
      </c>
      <c r="I21" s="11">
        <f t="shared" si="4"/>
        <v>0</v>
      </c>
      <c r="J21" s="10">
        <f>IF($K$4="Monthly",MAX(IF((SUM(J18,J25,J27)-J17)&gt;=15000,1950,(SUM(J18,J25,J27)-J17)*13%),I21),IF(Q6="Yearly",MAX(IF((SUM(J18,J27)-J17)&gt;=15000,1950,(SUM(J18,J27)-J17)*13%),I21),"Check"))</f>
        <v>1950</v>
      </c>
      <c r="K21" s="10">
        <f>IF($K$4="Monthly",MAX(IF((SUM(K18,K25,K27)-K17)&gt;=15000,1950,(SUM(K18,K25,K27)-K17)*13%),J21),IF(R6="Yearly",MAX(IF((SUM(K18,K27)-K17)&gt;=15000,1950,(SUM(K18,K27)-K17)*13%),J21),"Check"))</f>
        <v>1950</v>
      </c>
      <c r="L21" s="11">
        <f t="shared" si="5"/>
        <v>0</v>
      </c>
    </row>
    <row r="22" spans="1:12" x14ac:dyDescent="0.3">
      <c r="A22" s="8" t="s">
        <v>29</v>
      </c>
      <c r="B22" s="9"/>
      <c r="C22" s="10">
        <f>MAX(C15,7000)*8.33%</f>
        <v>583.1</v>
      </c>
      <c r="D22" s="11">
        <f t="shared" si="1"/>
        <v>583.1</v>
      </c>
      <c r="F22" s="8" t="s">
        <v>29</v>
      </c>
      <c r="G22" s="9">
        <v>1299</v>
      </c>
      <c r="H22" s="10">
        <f>MAX(H15,7000)*8.33%</f>
        <v>1311.514351</v>
      </c>
      <c r="I22" s="11">
        <f t="shared" si="4"/>
        <v>12.514351000000033</v>
      </c>
      <c r="J22" s="10">
        <f>MAX(J15,7000)*8.33%</f>
        <v>1092.4794999999999</v>
      </c>
      <c r="K22" s="10">
        <f>MAX(K15,7000)*8.33%</f>
        <v>1108.82296</v>
      </c>
      <c r="L22" s="11">
        <f t="shared" si="5"/>
        <v>16.34346000000005</v>
      </c>
    </row>
    <row r="23" spans="1:12" x14ac:dyDescent="0.3">
      <c r="A23" s="12" t="s">
        <v>30</v>
      </c>
      <c r="B23" s="13">
        <f>SUM(B18:B22)</f>
        <v>0</v>
      </c>
      <c r="C23" s="14" t="e">
        <f>SUM(C18:C22)</f>
        <v>#REF!</v>
      </c>
      <c r="D23" s="15" t="e">
        <f t="shared" si="1"/>
        <v>#REF!</v>
      </c>
      <c r="F23" s="12" t="s">
        <v>30</v>
      </c>
      <c r="G23" s="13">
        <f>SUM(G18:G22)</f>
        <v>27285</v>
      </c>
      <c r="H23" s="14">
        <f>SUM(H18:H22)</f>
        <v>27740.431351000003</v>
      </c>
      <c r="I23" s="15">
        <f t="shared" si="4"/>
        <v>455.43135100000291</v>
      </c>
      <c r="J23" s="13">
        <f>SUM(J18:J22)</f>
        <v>19886.334177500001</v>
      </c>
      <c r="K23" s="14">
        <f>SUM(K18:K22)</f>
        <v>20894.933656200003</v>
      </c>
      <c r="L23" s="15">
        <f t="shared" si="5"/>
        <v>1008.5994787000018</v>
      </c>
    </row>
    <row r="24" spans="1:12" x14ac:dyDescent="0.3">
      <c r="A24" s="8" t="s">
        <v>31</v>
      </c>
      <c r="B24" s="9"/>
      <c r="C24" s="10">
        <f>B24</f>
        <v>0</v>
      </c>
      <c r="D24" s="11">
        <f t="shared" si="1"/>
        <v>0</v>
      </c>
      <c r="F24" s="8" t="s">
        <v>31</v>
      </c>
      <c r="G24" s="9">
        <v>5</v>
      </c>
      <c r="H24" s="10">
        <f>G24</f>
        <v>5</v>
      </c>
      <c r="I24" s="11">
        <f t="shared" si="4"/>
        <v>0</v>
      </c>
      <c r="J24" s="9">
        <v>5</v>
      </c>
      <c r="K24" s="10">
        <f>J24</f>
        <v>5</v>
      </c>
      <c r="L24" s="11">
        <f t="shared" si="5"/>
        <v>0</v>
      </c>
    </row>
    <row r="25" spans="1:12" x14ac:dyDescent="0.3">
      <c r="A25" s="8" t="s">
        <v>32</v>
      </c>
      <c r="B25" s="9"/>
      <c r="C25" s="10" t="e">
        <f>(C18/26)*($P$2/12)</f>
        <v>#REF!</v>
      </c>
      <c r="D25" s="11" t="e">
        <f t="shared" si="1"/>
        <v>#REF!</v>
      </c>
      <c r="F25" s="8" t="s">
        <v>32</v>
      </c>
      <c r="G25" s="9">
        <v>2231</v>
      </c>
      <c r="H25" s="10">
        <f>(H18/26)*($P$2/12)</f>
        <v>2281.6266346153848</v>
      </c>
      <c r="I25" s="11">
        <f t="shared" si="4"/>
        <v>50.626634615384773</v>
      </c>
      <c r="J25" s="10">
        <f>(J18/26)*($P$2/12)</f>
        <v>1560.5913461538462</v>
      </c>
      <c r="K25" s="10">
        <f>(K18/26)*($P$2/12)</f>
        <v>1652.669230769231</v>
      </c>
      <c r="L25" s="11">
        <f t="shared" si="5"/>
        <v>92.077884615384846</v>
      </c>
    </row>
    <row r="26" spans="1:12" x14ac:dyDescent="0.3">
      <c r="A26" s="16" t="s">
        <v>33</v>
      </c>
      <c r="B26" s="19"/>
      <c r="C26" s="20"/>
      <c r="D26" s="17"/>
      <c r="F26" s="16" t="s">
        <v>78</v>
      </c>
      <c r="G26" s="19">
        <v>0</v>
      </c>
      <c r="H26" s="20" t="s">
        <v>48</v>
      </c>
      <c r="I26" s="17"/>
      <c r="J26" s="19"/>
      <c r="K26" s="20" t="s">
        <v>48</v>
      </c>
      <c r="L26" s="17"/>
    </row>
    <row r="27" spans="1:12" x14ac:dyDescent="0.3">
      <c r="A27" s="8" t="s">
        <v>34</v>
      </c>
      <c r="B27" s="9"/>
      <c r="C27" s="10">
        <f>IF(C26="Yes",((C18/26)*($P$3/12))*$P$4,0)</f>
        <v>0</v>
      </c>
      <c r="D27" s="11">
        <f t="shared" si="1"/>
        <v>0</v>
      </c>
      <c r="F27" s="8" t="s">
        <v>34</v>
      </c>
      <c r="G27" s="9">
        <v>0</v>
      </c>
      <c r="H27" s="10">
        <f>IF(H26="Yes",((H18/26)*($P$3/12))*$P$4,0)</f>
        <v>0</v>
      </c>
      <c r="I27" s="11">
        <f t="shared" ref="I27:I35" si="6">H27-G27</f>
        <v>0</v>
      </c>
      <c r="J27" s="9">
        <v>0</v>
      </c>
      <c r="K27" s="10">
        <f>IF(K26="Yes",((K18/26)*($P$3/12))*$P$4,0)</f>
        <v>0</v>
      </c>
      <c r="L27" s="11">
        <f t="shared" ref="L27:L35" si="7">K27-J27</f>
        <v>0</v>
      </c>
    </row>
    <row r="28" spans="1:12" x14ac:dyDescent="0.3">
      <c r="A28" s="8" t="s">
        <v>35</v>
      </c>
      <c r="B28" s="9"/>
      <c r="C28" s="10">
        <f>B28</f>
        <v>0</v>
      </c>
      <c r="D28" s="11">
        <f t="shared" si="1"/>
        <v>0</v>
      </c>
      <c r="F28" s="8" t="s">
        <v>35</v>
      </c>
      <c r="G28" s="9">
        <v>200</v>
      </c>
      <c r="H28" s="10">
        <f>G28</f>
        <v>200</v>
      </c>
      <c r="I28" s="11">
        <f t="shared" si="6"/>
        <v>0</v>
      </c>
      <c r="J28" s="9">
        <v>200</v>
      </c>
      <c r="K28" s="10">
        <f>J28</f>
        <v>200</v>
      </c>
      <c r="L28" s="11">
        <f t="shared" si="7"/>
        <v>0</v>
      </c>
    </row>
    <row r="29" spans="1:12" x14ac:dyDescent="0.3">
      <c r="A29" s="12" t="s">
        <v>36</v>
      </c>
      <c r="B29" s="13">
        <f>SUM(B27:B28,B23:B25)</f>
        <v>0</v>
      </c>
      <c r="C29" s="14" t="e">
        <f>SUM(C27:C28,C23:C25)</f>
        <v>#REF!</v>
      </c>
      <c r="D29" s="15" t="e">
        <f t="shared" si="1"/>
        <v>#REF!</v>
      </c>
      <c r="F29" s="12" t="s">
        <v>36</v>
      </c>
      <c r="G29" s="13">
        <f>SUM(G27:G28,G23:G25)</f>
        <v>29721</v>
      </c>
      <c r="H29" s="14">
        <f>SUM(H27:H28,H23:H25)</f>
        <v>30227.057985615389</v>
      </c>
      <c r="I29" s="15">
        <f t="shared" si="6"/>
        <v>506.05798561538904</v>
      </c>
      <c r="J29" s="13">
        <f>SUM(J27:J28,J23:J25)</f>
        <v>21651.925523653848</v>
      </c>
      <c r="K29" s="14">
        <f>SUM(K27:K28,K23:K25)</f>
        <v>22752.602886969235</v>
      </c>
      <c r="L29" s="15">
        <f t="shared" si="7"/>
        <v>1100.6773633153862</v>
      </c>
    </row>
    <row r="30" spans="1:12" x14ac:dyDescent="0.3">
      <c r="A30" s="21" t="s">
        <v>37</v>
      </c>
      <c r="B30" s="22"/>
      <c r="C30" s="23"/>
      <c r="D30" s="24">
        <f t="shared" si="1"/>
        <v>0</v>
      </c>
      <c r="F30" s="21" t="s">
        <v>37</v>
      </c>
      <c r="G30" s="22"/>
      <c r="H30" s="23">
        <v>7.0000000000000007E-2</v>
      </c>
      <c r="I30" s="24">
        <f t="shared" si="6"/>
        <v>7.0000000000000007E-2</v>
      </c>
      <c r="J30" s="22"/>
      <c r="K30" s="23">
        <v>7.0000000000000007E-2</v>
      </c>
      <c r="L30" s="24">
        <f t="shared" si="7"/>
        <v>7.0000000000000007E-2</v>
      </c>
    </row>
    <row r="31" spans="1:12" x14ac:dyDescent="0.3">
      <c r="A31" s="8" t="s">
        <v>13</v>
      </c>
      <c r="B31" s="9"/>
      <c r="C31" s="10" t="e">
        <f>IF($K$6="Fixed Amount",B31,#REF!*C30)</f>
        <v>#REF!</v>
      </c>
      <c r="D31" s="11" t="e">
        <f t="shared" si="1"/>
        <v>#REF!</v>
      </c>
      <c r="F31" s="8" t="s">
        <v>13</v>
      </c>
      <c r="G31" s="9">
        <v>2074.3100000000004</v>
      </c>
      <c r="H31" s="10">
        <f>IF($K$6="Fixed Amount",G31,H29*H30)</f>
        <v>2115.8940589930776</v>
      </c>
      <c r="I31" s="11">
        <f t="shared" si="6"/>
        <v>41.584058993077178</v>
      </c>
      <c r="J31" s="9">
        <v>1517</v>
      </c>
      <c r="K31" s="10">
        <f>IF($K$6="Fixed Amount",J31,K29*K30)</f>
        <v>1592.6822020878465</v>
      </c>
      <c r="L31" s="11">
        <f t="shared" si="7"/>
        <v>75.682202087846463</v>
      </c>
    </row>
    <row r="32" spans="1:12" x14ac:dyDescent="0.3">
      <c r="A32" s="12" t="s">
        <v>38</v>
      </c>
      <c r="B32" s="13" t="e">
        <f>SUM(B31,#REF!)</f>
        <v>#REF!</v>
      </c>
      <c r="C32" s="14" t="e">
        <f>SUM(C31,#REF!)</f>
        <v>#REF!</v>
      </c>
      <c r="D32" s="15" t="e">
        <f t="shared" si="1"/>
        <v>#REF!</v>
      </c>
      <c r="F32" s="30" t="s">
        <v>38</v>
      </c>
      <c r="G32" s="31">
        <f>SUM(G31,G29)</f>
        <v>31795.31</v>
      </c>
      <c r="H32" s="32">
        <f>SUM(H31,H29)</f>
        <v>32342.952044608468</v>
      </c>
      <c r="I32" s="33">
        <f t="shared" si="6"/>
        <v>547.64204460846668</v>
      </c>
      <c r="J32" s="31">
        <f>SUM(J31,J29)</f>
        <v>23168.925523653848</v>
      </c>
      <c r="K32" s="32">
        <f>SUM(K31,K29)</f>
        <v>24345.285089057081</v>
      </c>
      <c r="L32" s="33">
        <f>K32-J32</f>
        <v>1176.3595654032324</v>
      </c>
    </row>
    <row r="33" spans="1:12" x14ac:dyDescent="0.3">
      <c r="A33" s="8" t="s">
        <v>39</v>
      </c>
      <c r="B33" s="9"/>
      <c r="C33" s="10" t="e">
        <f>(0.75%*C20/3.25%)*-1</f>
        <v>#REF!</v>
      </c>
      <c r="D33" s="11" t="e">
        <f t="shared" si="1"/>
        <v>#REF!</v>
      </c>
      <c r="F33" s="8" t="s">
        <v>39</v>
      </c>
      <c r="G33" s="9">
        <v>0</v>
      </c>
      <c r="H33" s="10">
        <f>(0.75%*H20/3.25%)*-1</f>
        <v>0</v>
      </c>
      <c r="I33" s="11">
        <f t="shared" si="6"/>
        <v>0</v>
      </c>
      <c r="J33" s="9">
        <v>-176</v>
      </c>
      <c r="K33" s="10">
        <f>(0.75%*K20/3.25%)*-1</f>
        <v>-149.61939143076924</v>
      </c>
      <c r="L33" s="11">
        <f t="shared" si="7"/>
        <v>26.380608569230759</v>
      </c>
    </row>
    <row r="34" spans="1:12" x14ac:dyDescent="0.3">
      <c r="A34" s="8" t="s">
        <v>40</v>
      </c>
      <c r="B34" s="9"/>
      <c r="C34" s="10" t="e">
        <f>MIN(IF(C21=1950,1800,12%*C21/13%)*-1,B34)</f>
        <v>#REF!</v>
      </c>
      <c r="D34" s="11" t="e">
        <f t="shared" si="1"/>
        <v>#REF!</v>
      </c>
      <c r="F34" s="8" t="s">
        <v>40</v>
      </c>
      <c r="G34" s="9">
        <v>-1800</v>
      </c>
      <c r="H34" s="10">
        <f>MIN(IF(H21=1950,1800,12%*H21/13%)*-1,G34)</f>
        <v>-1800</v>
      </c>
      <c r="I34" s="11">
        <f t="shared" si="6"/>
        <v>0</v>
      </c>
      <c r="J34" s="9">
        <v>-1800</v>
      </c>
      <c r="K34" s="10">
        <f>MIN(IF(K21=1950,1800,12%*K21/13%)*-1,J34)</f>
        <v>-1800</v>
      </c>
      <c r="L34" s="11">
        <f t="shared" si="7"/>
        <v>0</v>
      </c>
    </row>
    <row r="35" spans="1:12" x14ac:dyDescent="0.3">
      <c r="A35" s="12" t="s">
        <v>41</v>
      </c>
      <c r="B35" s="13">
        <f>IF(AND($K$3="Monthly",$K$4="Monthly"),SUM(B18,B22,B25,B27,B33:B34),IF(AND($K$3="Yearly",$K$4="Monthly"),SUM(B18,B25,B27,B33:B34),IF(AND($K$3="Monthly",$K$4="Yearly"),SUM(B18,B22,B27,B33:B34),IF(AND($K$3="Yearly",$K$4="Yearly"),SUM(B18,B27,B33:B34)))))</f>
        <v>0</v>
      </c>
      <c r="C35" s="14" t="e">
        <f>IF(AND($K$3="Monthly",$K$4="Monthly"),SUM(C18,C22,C25,C27,C33:C34),IF(AND($K$3="Yearly",$K$4="Monthly"),SUM(C18,C25,C27,C33:C34),IF(AND($K$3="Monthly",$K$4="Yearly"),SUM(C18,C22,C27,C33:C34),IF(AND($K$3="Yearly",$K$4="Yearly"),SUM(C18,C27,C33:C34)))))</f>
        <v>#REF!</v>
      </c>
      <c r="D35" s="15" t="e">
        <f t="shared" si="1"/>
        <v>#REF!</v>
      </c>
      <c r="F35" s="12" t="s">
        <v>41</v>
      </c>
      <c r="G35" s="13">
        <f>IF(AND($K$3="Monthly",$K$4="Monthly"),SUM(G18,G22,G25,G27,G33:G34),IF(AND($K$3="Yearly",$K$4="Monthly"),SUM(G18,G25,G27,G33:G34),IF(AND($K$3="Monthly",$K$4="Yearly"),SUM(G18,G22,G27,G33:G34),IF(AND($K$3="Yearly",$K$4="Yearly"),SUM(G18,G27,G33:G34)))))</f>
        <v>25016</v>
      </c>
      <c r="H35" s="14">
        <f>IF(AND($K$3="Monthly",$K$4="Monthly"),SUM(H18,H22,H25,H27,H33:H34),IF(AND($K$3="Yearly",$K$4="Monthly"),SUM(H18,H25,H27,H33:H34),IF(AND($K$3="Monthly",$K$4="Yearly"),SUM(H18,H22,H27,H33:H34),IF(AND($K$3="Yearly",$K$4="Yearly"),SUM(H18,H27,H33:H34)))))</f>
        <v>25522.057985615389</v>
      </c>
      <c r="I35" s="15">
        <f t="shared" si="6"/>
        <v>506.05798561538904</v>
      </c>
      <c r="J35" s="13">
        <f>IF(AND($K$3="Monthly",$K$4="Monthly"),SUM(J18,J22,J25,J27,J33:J34),IF(AND($K$3="Yearly",$K$4="Monthly"),SUM(J18,J25,J27,J33:J34),IF(AND($K$3="Monthly",$K$4="Yearly"),SUM(J18,J22,J27,J33:J34),IF(AND($K$3="Yearly",$K$4="Yearly"),SUM(J18,J27,J33:J34)))))</f>
        <v>16907.220846153847</v>
      </c>
      <c r="K35" s="14">
        <f>IF(AND($K$3="Monthly",$K$4="Monthly"),SUM(K18,K22,K25,K27,K33:K34),IF(AND($K$3="Yearly",$K$4="Monthly"),SUM(K18,K25,K27,K33:K34),IF(AND($K$3="Monthly",$K$4="Yearly"),SUM(K18,K22,K27,K33:K34),IF(AND($K$3="Yearly",$K$4="Yearly"),SUM(K18,K27,K33:K34)))))</f>
        <v>17999.632799338466</v>
      </c>
      <c r="L35" s="15">
        <f t="shared" si="7"/>
        <v>1092.4119531846191</v>
      </c>
    </row>
    <row r="36" spans="1:12" ht="15" thickBot="1" x14ac:dyDescent="0.35">
      <c r="A36" s="25"/>
      <c r="B36" s="9"/>
      <c r="C36" s="10"/>
      <c r="D36" s="11"/>
      <c r="F36" s="25"/>
      <c r="G36" s="9"/>
      <c r="H36" s="10"/>
      <c r="I36" s="11"/>
      <c r="J36" s="9"/>
      <c r="K36" s="10"/>
      <c r="L36" s="11"/>
    </row>
    <row r="37" spans="1:12" ht="15" thickBot="1" x14ac:dyDescent="0.35">
      <c r="A37" s="26" t="s">
        <v>42</v>
      </c>
      <c r="B37" s="27"/>
      <c r="C37" s="28"/>
      <c r="D37" s="29"/>
      <c r="F37" s="26" t="s">
        <v>42</v>
      </c>
      <c r="G37" s="27">
        <v>1</v>
      </c>
      <c r="H37" s="28">
        <v>1</v>
      </c>
      <c r="I37" s="29"/>
      <c r="J37" s="27">
        <v>3</v>
      </c>
      <c r="K37" s="28">
        <v>3</v>
      </c>
      <c r="L37" s="29"/>
    </row>
    <row r="39" spans="1:12" x14ac:dyDescent="0.3">
      <c r="G39" s="43"/>
    </row>
    <row r="40" spans="1:12" x14ac:dyDescent="0.3">
      <c r="J40" s="43"/>
    </row>
  </sheetData>
  <mergeCells count="14">
    <mergeCell ref="G10:I10"/>
    <mergeCell ref="J10:L10"/>
    <mergeCell ref="F1:M2"/>
    <mergeCell ref="G3:I3"/>
    <mergeCell ref="K3:M3"/>
    <mergeCell ref="G4:I4"/>
    <mergeCell ref="K4:M4"/>
    <mergeCell ref="G6:I6"/>
    <mergeCell ref="K6:M6"/>
    <mergeCell ref="B9:D9"/>
    <mergeCell ref="G9:I9"/>
    <mergeCell ref="J9:L9"/>
    <mergeCell ref="G5:I5"/>
    <mergeCell ref="K5:M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30</vt:i4>
      </vt:variant>
    </vt:vector>
  </HeadingPairs>
  <TitlesOfParts>
    <vt:vector size="34" baseType="lpstr">
      <vt:lpstr>Summary 2021</vt:lpstr>
      <vt:lpstr>150 ORR</vt:lpstr>
      <vt:lpstr>SUNRIVER </vt:lpstr>
      <vt:lpstr>SUNRIVER</vt:lpstr>
      <vt:lpstr>SUNRIVER!Account_Name</vt:lpstr>
      <vt:lpstr>'SUNRIVER '!Account_Name</vt:lpstr>
      <vt:lpstr>Account_Name</vt:lpstr>
      <vt:lpstr>SUNRIVER!Bonus</vt:lpstr>
      <vt:lpstr>'SUNRIVER '!Bonus</vt:lpstr>
      <vt:lpstr>Bonus</vt:lpstr>
      <vt:lpstr>SUNRIVER!Business_Unit</vt:lpstr>
      <vt:lpstr>'SUNRIVER '!Business_Unit</vt:lpstr>
      <vt:lpstr>Business_Unit</vt:lpstr>
      <vt:lpstr>SUNRIVER!LW</vt:lpstr>
      <vt:lpstr>'SUNRIVER '!LW</vt:lpstr>
      <vt:lpstr>LW</vt:lpstr>
      <vt:lpstr>SUNRIVER!Management_Fee</vt:lpstr>
      <vt:lpstr>'SUNRIVER '!Management_Fee</vt:lpstr>
      <vt:lpstr>Management_Fee</vt:lpstr>
      <vt:lpstr>SUNRIVER!Notification</vt:lpstr>
      <vt:lpstr>'SUNRIVER '!Notification</vt:lpstr>
      <vt:lpstr>Notification</vt:lpstr>
      <vt:lpstr>SUNRIVER!Site_Name</vt:lpstr>
      <vt:lpstr>'SUNRIVER '!Site_Name</vt:lpstr>
      <vt:lpstr>Site_Name</vt:lpstr>
      <vt:lpstr>SUNRIVER!State</vt:lpstr>
      <vt:lpstr>'SUNRIVER '!State</vt:lpstr>
      <vt:lpstr>State</vt:lpstr>
      <vt:lpstr>SUNRIVER!Template</vt:lpstr>
      <vt:lpstr>'SUNRIVER '!Template</vt:lpstr>
      <vt:lpstr>Template</vt:lpstr>
      <vt:lpstr>SUNRIVER!Twfs</vt:lpstr>
      <vt:lpstr>'SUNRIVER '!Twfs</vt:lpstr>
      <vt:lpstr>Twfs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MC, Sandhya</dc:creator>
  <cp:lastModifiedBy>hp</cp:lastModifiedBy>
  <dcterms:created xsi:type="dcterms:W3CDTF">2021-04-09T06:11:49Z</dcterms:created>
  <dcterms:modified xsi:type="dcterms:W3CDTF">2021-09-20T09:21:56Z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d0e882b7-4386-450e-a044-cf3f590dd708</vt:lpwstr>
  </property>
  <property fmtid="{D5CDD505-2E9C-101B-9397-08002B2CF9AE}" pid="3" name="Classification">
    <vt:lpwstr>I</vt:lpwstr>
  </property>
</Properties>
</file>