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fik Azimatussyifa\Documents\"/>
    </mc:Choice>
  </mc:AlternateContent>
  <xr:revisionPtr revIDLastSave="0" documentId="13_ncr:1_{1A37392A-16CB-40BF-86E9-009472CB6C4A}" xr6:coauthVersionLast="47" xr6:coauthVersionMax="47" xr10:uidLastSave="{00000000-0000-0000-0000-000000000000}"/>
  <bookViews>
    <workbookView xWindow="-110" yWindow="-110" windowWidth="19420" windowHeight="10300" firstSheet="7" activeTab="11" xr2:uid="{5323D0CF-EAC6-4947-B303-5F59B7033DCB}"/>
  </bookViews>
  <sheets>
    <sheet name="tahun majmu'ah" sheetId="2" r:id="rId1"/>
    <sheet name="tahun mabsuthoh" sheetId="1" r:id="rId2"/>
    <sheet name="Bulan 158" sheetId="15" r:id="rId3"/>
    <sheet name="Ta'dil T1-T8" sheetId="3" r:id="rId4"/>
    <sheet name="hal 163" sheetId="4" r:id="rId5"/>
    <sheet name="Deklinasi Matahari" sheetId="5" r:id="rId6"/>
    <sheet name="Tahun Majmu'ah 166" sheetId="6" r:id="rId7"/>
    <sheet name="Tahun mabsuthoh 168" sheetId="7" r:id="rId8"/>
    <sheet name="Jadwal Bulan" sheetId="8" r:id="rId9"/>
    <sheet name="Jadwal Hari" sheetId="11" r:id="rId10"/>
    <sheet name="JAM" sheetId="12" r:id="rId11"/>
    <sheet name="MENIT" sheetId="13" r:id="rId12"/>
    <sheet name="DETIK" sheetId="14" r:id="rId13"/>
    <sheet name="Ta'dil 165-185 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0" i="5" l="1"/>
  <c r="N70" i="5"/>
  <c r="K70" i="5"/>
  <c r="J70" i="5"/>
  <c r="G70" i="5"/>
  <c r="F70" i="5"/>
  <c r="E70" i="5"/>
  <c r="D70" i="5"/>
  <c r="O69" i="5"/>
  <c r="N69" i="5"/>
  <c r="M69" i="5"/>
  <c r="L69" i="5"/>
  <c r="K69" i="5"/>
  <c r="J69" i="5"/>
  <c r="I69" i="5"/>
  <c r="H69" i="5"/>
  <c r="G69" i="5"/>
  <c r="F69" i="5"/>
  <c r="E69" i="5"/>
  <c r="D69" i="5"/>
  <c r="O68" i="5"/>
  <c r="N68" i="5"/>
  <c r="M68" i="5"/>
  <c r="L68" i="5"/>
  <c r="K68" i="5"/>
  <c r="J68" i="5"/>
  <c r="I68" i="5"/>
  <c r="H68" i="5"/>
  <c r="G68" i="5"/>
  <c r="F68" i="5"/>
  <c r="E68" i="5"/>
  <c r="D68" i="5"/>
  <c r="O67" i="5"/>
  <c r="N67" i="5"/>
  <c r="M67" i="5"/>
  <c r="L67" i="5"/>
  <c r="K67" i="5"/>
  <c r="J67" i="5"/>
  <c r="I67" i="5"/>
  <c r="H67" i="5"/>
  <c r="G67" i="5"/>
  <c r="F67" i="5"/>
  <c r="E67" i="5"/>
  <c r="D67" i="5"/>
  <c r="O66" i="5"/>
  <c r="N66" i="5"/>
  <c r="M66" i="5"/>
  <c r="L66" i="5"/>
  <c r="K66" i="5"/>
  <c r="J66" i="5"/>
  <c r="I66" i="5"/>
  <c r="H66" i="5"/>
  <c r="G66" i="5"/>
  <c r="F66" i="5"/>
  <c r="E66" i="5"/>
  <c r="D66" i="5"/>
  <c r="O65" i="5"/>
  <c r="N65" i="5"/>
  <c r="M65" i="5"/>
  <c r="L65" i="5"/>
  <c r="K65" i="5"/>
  <c r="J65" i="5"/>
  <c r="I65" i="5"/>
  <c r="H65" i="5"/>
  <c r="G65" i="5"/>
  <c r="F65" i="5"/>
  <c r="E65" i="5"/>
  <c r="D65" i="5"/>
  <c r="O64" i="5"/>
  <c r="N64" i="5"/>
  <c r="M64" i="5"/>
  <c r="L64" i="5"/>
  <c r="K64" i="5"/>
  <c r="J64" i="5"/>
  <c r="I64" i="5"/>
  <c r="H64" i="5"/>
  <c r="G64" i="5"/>
  <c r="F64" i="5"/>
  <c r="E64" i="5"/>
  <c r="D64" i="5"/>
  <c r="O63" i="5"/>
  <c r="N63" i="5"/>
  <c r="M63" i="5"/>
  <c r="L63" i="5"/>
  <c r="K63" i="5"/>
  <c r="J63" i="5"/>
  <c r="I63" i="5"/>
  <c r="H63" i="5"/>
  <c r="G63" i="5"/>
  <c r="F63" i="5"/>
  <c r="E63" i="5"/>
  <c r="D63" i="5"/>
  <c r="O62" i="5"/>
  <c r="N62" i="5"/>
  <c r="M62" i="5"/>
  <c r="L62" i="5"/>
  <c r="K62" i="5"/>
  <c r="J62" i="5"/>
  <c r="I62" i="5"/>
  <c r="H62" i="5"/>
  <c r="G62" i="5"/>
  <c r="F62" i="5"/>
  <c r="E62" i="5"/>
  <c r="D62" i="5"/>
  <c r="O61" i="5"/>
  <c r="N61" i="5"/>
  <c r="M61" i="5"/>
  <c r="L61" i="5"/>
  <c r="K61" i="5"/>
  <c r="J61" i="5"/>
  <c r="I61" i="5"/>
  <c r="H61" i="5"/>
  <c r="G61" i="5"/>
  <c r="F61" i="5"/>
  <c r="E61" i="5"/>
  <c r="D61" i="5"/>
  <c r="O60" i="5"/>
  <c r="N60" i="5"/>
  <c r="M60" i="5"/>
  <c r="L60" i="5"/>
  <c r="K60" i="5"/>
  <c r="J60" i="5"/>
  <c r="I60" i="5"/>
  <c r="H60" i="5"/>
  <c r="G60" i="5"/>
  <c r="F60" i="5"/>
  <c r="E60" i="5"/>
  <c r="D60" i="5"/>
  <c r="O59" i="5"/>
  <c r="N59" i="5"/>
  <c r="M59" i="5"/>
  <c r="L59" i="5"/>
  <c r="K59" i="5"/>
  <c r="J59" i="5"/>
  <c r="I59" i="5"/>
  <c r="H59" i="5"/>
  <c r="G59" i="5"/>
  <c r="F59" i="5"/>
  <c r="E59" i="5"/>
  <c r="D59" i="5"/>
  <c r="O58" i="5"/>
  <c r="N58" i="5"/>
  <c r="M58" i="5"/>
  <c r="L58" i="5"/>
  <c r="K58" i="5"/>
  <c r="J58" i="5"/>
  <c r="I58" i="5"/>
  <c r="H58" i="5"/>
  <c r="G58" i="5"/>
  <c r="F58" i="5"/>
  <c r="E58" i="5"/>
  <c r="D58" i="5"/>
  <c r="O57" i="5"/>
  <c r="N57" i="5"/>
  <c r="M57" i="5"/>
  <c r="L57" i="5"/>
  <c r="K57" i="5"/>
  <c r="J57" i="5"/>
  <c r="I57" i="5"/>
  <c r="H57" i="5"/>
  <c r="G57" i="5"/>
  <c r="F57" i="5"/>
  <c r="E57" i="5"/>
  <c r="D57" i="5"/>
  <c r="O56" i="5"/>
  <c r="N56" i="5"/>
  <c r="M56" i="5"/>
  <c r="L56" i="5"/>
  <c r="K56" i="5"/>
  <c r="J56" i="5"/>
  <c r="I56" i="5"/>
  <c r="H56" i="5"/>
  <c r="G56" i="5"/>
  <c r="F56" i="5"/>
  <c r="E56" i="5"/>
  <c r="D56" i="5"/>
  <c r="O55" i="5"/>
  <c r="N55" i="5"/>
  <c r="M55" i="5"/>
  <c r="L55" i="5"/>
  <c r="K55" i="5"/>
  <c r="J55" i="5"/>
  <c r="I55" i="5"/>
  <c r="H55" i="5"/>
  <c r="G55" i="5"/>
  <c r="F55" i="5"/>
  <c r="E55" i="5"/>
  <c r="D55" i="5"/>
  <c r="O54" i="5"/>
  <c r="N54" i="5"/>
  <c r="M54" i="5"/>
  <c r="L54" i="5"/>
  <c r="K54" i="5"/>
  <c r="J54" i="5"/>
  <c r="I54" i="5"/>
  <c r="H54" i="5"/>
  <c r="G54" i="5"/>
  <c r="F54" i="5"/>
  <c r="E54" i="5"/>
  <c r="D54" i="5"/>
  <c r="O53" i="5"/>
  <c r="N53" i="5"/>
  <c r="M53" i="5"/>
  <c r="L53" i="5"/>
  <c r="K53" i="5"/>
  <c r="J53" i="5"/>
  <c r="I53" i="5"/>
  <c r="H53" i="5"/>
  <c r="G53" i="5"/>
  <c r="F53" i="5"/>
  <c r="E53" i="5"/>
  <c r="D53" i="5"/>
  <c r="O52" i="5"/>
  <c r="N52" i="5"/>
  <c r="M52" i="5"/>
  <c r="L52" i="5"/>
  <c r="K52" i="5"/>
  <c r="J52" i="5"/>
  <c r="I52" i="5"/>
  <c r="H52" i="5"/>
  <c r="G52" i="5"/>
  <c r="F52" i="5"/>
  <c r="E52" i="5"/>
  <c r="D52" i="5"/>
  <c r="O51" i="5"/>
  <c r="N51" i="5"/>
  <c r="M51" i="5"/>
  <c r="L51" i="5"/>
  <c r="K51" i="5"/>
  <c r="J51" i="5"/>
  <c r="I51" i="5"/>
  <c r="H51" i="5"/>
  <c r="G51" i="5"/>
  <c r="F51" i="5"/>
  <c r="E51" i="5"/>
  <c r="D51" i="5"/>
  <c r="O50" i="5"/>
  <c r="N50" i="5"/>
  <c r="M50" i="5"/>
  <c r="L50" i="5"/>
  <c r="K50" i="5"/>
  <c r="J50" i="5"/>
  <c r="I50" i="5"/>
  <c r="H50" i="5"/>
  <c r="G50" i="5"/>
  <c r="F50" i="5"/>
  <c r="E50" i="5"/>
  <c r="D50" i="5"/>
  <c r="O49" i="5"/>
  <c r="N49" i="5"/>
  <c r="M49" i="5"/>
  <c r="L49" i="5"/>
  <c r="K49" i="5"/>
  <c r="J49" i="5"/>
  <c r="I49" i="5"/>
  <c r="H49" i="5"/>
  <c r="G49" i="5"/>
  <c r="F49" i="5"/>
  <c r="E49" i="5"/>
  <c r="D49" i="5"/>
  <c r="O48" i="5"/>
  <c r="N48" i="5"/>
  <c r="M48" i="5"/>
  <c r="L48" i="5"/>
  <c r="K48" i="5"/>
  <c r="J48" i="5"/>
  <c r="I48" i="5"/>
  <c r="H48" i="5"/>
  <c r="G48" i="5"/>
  <c r="F48" i="5"/>
  <c r="E48" i="5"/>
  <c r="D48" i="5"/>
  <c r="O47" i="5"/>
  <c r="N47" i="5"/>
  <c r="M47" i="5"/>
  <c r="L47" i="5"/>
  <c r="K47" i="5"/>
  <c r="J47" i="5"/>
  <c r="I47" i="5"/>
  <c r="H47" i="5"/>
  <c r="G47" i="5"/>
  <c r="F47" i="5"/>
  <c r="E47" i="5"/>
  <c r="D47" i="5"/>
  <c r="O46" i="5"/>
  <c r="N46" i="5"/>
  <c r="M46" i="5"/>
  <c r="L46" i="5"/>
  <c r="K46" i="5"/>
  <c r="J46" i="5"/>
  <c r="I46" i="5"/>
  <c r="H46" i="5"/>
  <c r="G46" i="5"/>
  <c r="F46" i="5"/>
  <c r="E46" i="5"/>
  <c r="D46" i="5"/>
  <c r="O45" i="5"/>
  <c r="N45" i="5"/>
  <c r="M45" i="5"/>
  <c r="L45" i="5"/>
  <c r="K45" i="5"/>
  <c r="J45" i="5"/>
  <c r="I45" i="5"/>
  <c r="H45" i="5"/>
  <c r="G45" i="5"/>
  <c r="F45" i="5"/>
  <c r="E45" i="5"/>
  <c r="D45" i="5"/>
  <c r="O44" i="5"/>
  <c r="N44" i="5"/>
  <c r="M44" i="5"/>
  <c r="L44" i="5"/>
  <c r="K44" i="5"/>
  <c r="J44" i="5"/>
  <c r="I44" i="5"/>
  <c r="H44" i="5"/>
  <c r="G44" i="5"/>
  <c r="F44" i="5"/>
  <c r="E44" i="5"/>
  <c r="D44" i="5"/>
  <c r="O43" i="5"/>
  <c r="N43" i="5"/>
  <c r="M43" i="5"/>
  <c r="L43" i="5"/>
  <c r="K43" i="5"/>
  <c r="J43" i="5"/>
  <c r="I43" i="5"/>
  <c r="H43" i="5"/>
  <c r="G43" i="5"/>
  <c r="F43" i="5"/>
  <c r="E43" i="5"/>
  <c r="D43" i="5"/>
  <c r="O42" i="5"/>
  <c r="N42" i="5"/>
  <c r="M42" i="5"/>
  <c r="L42" i="5"/>
  <c r="K42" i="5"/>
  <c r="J42" i="5"/>
  <c r="I42" i="5"/>
  <c r="H42" i="5"/>
  <c r="G42" i="5"/>
  <c r="F42" i="5"/>
  <c r="E42" i="5"/>
  <c r="D42" i="5"/>
  <c r="O41" i="5"/>
  <c r="N41" i="5"/>
  <c r="M41" i="5"/>
  <c r="L41" i="5"/>
  <c r="K41" i="5"/>
  <c r="J41" i="5"/>
  <c r="I41" i="5"/>
  <c r="H41" i="5"/>
  <c r="G41" i="5"/>
  <c r="F41" i="5"/>
  <c r="E41" i="5"/>
  <c r="D41" i="5"/>
  <c r="O40" i="5"/>
  <c r="N40" i="5"/>
  <c r="M40" i="5"/>
  <c r="L40" i="5"/>
  <c r="K40" i="5"/>
  <c r="J40" i="5"/>
  <c r="I40" i="5"/>
  <c r="H40" i="5"/>
  <c r="G40" i="5"/>
  <c r="F40" i="5"/>
  <c r="E40" i="5"/>
  <c r="D40" i="5"/>
  <c r="M35" i="5"/>
  <c r="L35" i="5"/>
  <c r="I35" i="5"/>
  <c r="H35" i="5"/>
  <c r="E35" i="5"/>
  <c r="D35" i="5"/>
  <c r="O34" i="5"/>
  <c r="N34" i="5"/>
  <c r="M34" i="5"/>
  <c r="L34" i="5"/>
  <c r="K34" i="5"/>
  <c r="J34" i="5"/>
  <c r="I34" i="5"/>
  <c r="H34" i="5"/>
  <c r="E34" i="5"/>
  <c r="D34" i="5"/>
  <c r="O33" i="5"/>
  <c r="N33" i="5"/>
  <c r="M33" i="5"/>
  <c r="L33" i="5"/>
  <c r="K33" i="5"/>
  <c r="J33" i="5"/>
  <c r="I33" i="5"/>
  <c r="H33" i="5"/>
  <c r="G33" i="5"/>
  <c r="F33" i="5"/>
  <c r="E33" i="5"/>
  <c r="D33" i="5"/>
  <c r="O32" i="5"/>
  <c r="N32" i="5"/>
  <c r="M32" i="5"/>
  <c r="L32" i="5"/>
  <c r="K32" i="5"/>
  <c r="J32" i="5"/>
  <c r="I32" i="5"/>
  <c r="H32" i="5"/>
  <c r="G32" i="5"/>
  <c r="F32" i="5"/>
  <c r="E32" i="5"/>
  <c r="D32" i="5"/>
  <c r="O31" i="5"/>
  <c r="N31" i="5"/>
  <c r="M31" i="5"/>
  <c r="L31" i="5"/>
  <c r="K31" i="5"/>
  <c r="J31" i="5"/>
  <c r="I31" i="5"/>
  <c r="H31" i="5"/>
  <c r="G31" i="5"/>
  <c r="F31" i="5"/>
  <c r="E31" i="5"/>
  <c r="D31" i="5"/>
  <c r="O30" i="5"/>
  <c r="N30" i="5"/>
  <c r="M30" i="5"/>
  <c r="L30" i="5"/>
  <c r="K30" i="5"/>
  <c r="J30" i="5"/>
  <c r="I30" i="5"/>
  <c r="H30" i="5"/>
  <c r="G30" i="5"/>
  <c r="F30" i="5"/>
  <c r="E30" i="5"/>
  <c r="D30" i="5"/>
  <c r="O29" i="5"/>
  <c r="N29" i="5"/>
  <c r="M29" i="5"/>
  <c r="L29" i="5"/>
  <c r="K29" i="5"/>
  <c r="J29" i="5"/>
  <c r="I29" i="5"/>
  <c r="H29" i="5"/>
  <c r="G29" i="5"/>
  <c r="F29" i="5"/>
  <c r="E29" i="5"/>
  <c r="D29" i="5"/>
  <c r="O28" i="5"/>
  <c r="N28" i="5"/>
  <c r="M28" i="5"/>
  <c r="L28" i="5"/>
  <c r="K28" i="5"/>
  <c r="J28" i="5"/>
  <c r="I28" i="5"/>
  <c r="H28" i="5"/>
  <c r="G28" i="5"/>
  <c r="F28" i="5"/>
  <c r="E28" i="5"/>
  <c r="D28" i="5"/>
  <c r="O27" i="5"/>
  <c r="N27" i="5"/>
  <c r="M27" i="5"/>
  <c r="L27" i="5"/>
  <c r="K27" i="5"/>
  <c r="J27" i="5"/>
  <c r="I27" i="5"/>
  <c r="H27" i="5"/>
  <c r="G27" i="5"/>
  <c r="F27" i="5"/>
  <c r="E27" i="5"/>
  <c r="D27" i="5"/>
  <c r="O26" i="5"/>
  <c r="N26" i="5"/>
  <c r="M26" i="5"/>
  <c r="L26" i="5"/>
  <c r="K26" i="5"/>
  <c r="J26" i="5"/>
  <c r="I26" i="5"/>
  <c r="H26" i="5"/>
  <c r="G26" i="5"/>
  <c r="F26" i="5"/>
  <c r="E26" i="5"/>
  <c r="D26" i="5"/>
  <c r="O25" i="5"/>
  <c r="N25" i="5"/>
  <c r="M25" i="5"/>
  <c r="L25" i="5"/>
  <c r="K25" i="5"/>
  <c r="J25" i="5"/>
  <c r="I25" i="5"/>
  <c r="H25" i="5"/>
  <c r="G25" i="5"/>
  <c r="F25" i="5"/>
  <c r="E25" i="5"/>
  <c r="D25" i="5"/>
  <c r="O24" i="5"/>
  <c r="N24" i="5"/>
  <c r="M24" i="5"/>
  <c r="L24" i="5"/>
  <c r="K24" i="5"/>
  <c r="J24" i="5"/>
  <c r="I24" i="5"/>
  <c r="H24" i="5"/>
  <c r="G24" i="5"/>
  <c r="F24" i="5"/>
  <c r="E24" i="5"/>
  <c r="D24" i="5"/>
  <c r="O23" i="5"/>
  <c r="N23" i="5"/>
  <c r="M23" i="5"/>
  <c r="L23" i="5"/>
  <c r="K23" i="5"/>
  <c r="J23" i="5"/>
  <c r="I23" i="5"/>
  <c r="H23" i="5"/>
  <c r="G23" i="5"/>
  <c r="F23" i="5"/>
  <c r="E23" i="5"/>
  <c r="D23" i="5"/>
  <c r="O22" i="5"/>
  <c r="N22" i="5"/>
  <c r="M22" i="5"/>
  <c r="L22" i="5"/>
  <c r="K22" i="5"/>
  <c r="J22" i="5"/>
  <c r="I22" i="5"/>
  <c r="H22" i="5"/>
  <c r="G22" i="5"/>
  <c r="F22" i="5"/>
  <c r="E22" i="5"/>
  <c r="D22" i="5"/>
  <c r="O21" i="5"/>
  <c r="N21" i="5"/>
  <c r="M21" i="5"/>
  <c r="L21" i="5"/>
  <c r="K21" i="5"/>
  <c r="J21" i="5"/>
  <c r="I21" i="5"/>
  <c r="H21" i="5"/>
  <c r="G21" i="5"/>
  <c r="F21" i="5"/>
  <c r="E21" i="5"/>
  <c r="D21" i="5"/>
  <c r="O20" i="5"/>
  <c r="N20" i="5"/>
  <c r="M20" i="5"/>
  <c r="L20" i="5"/>
  <c r="K20" i="5"/>
  <c r="J20" i="5"/>
  <c r="I20" i="5"/>
  <c r="H20" i="5"/>
  <c r="G20" i="5"/>
  <c r="F20" i="5"/>
  <c r="E20" i="5"/>
  <c r="D20" i="5"/>
  <c r="O19" i="5"/>
  <c r="N19" i="5"/>
  <c r="M19" i="5"/>
  <c r="L19" i="5"/>
  <c r="K19" i="5"/>
  <c r="J19" i="5"/>
  <c r="I19" i="5"/>
  <c r="H19" i="5"/>
  <c r="G19" i="5"/>
  <c r="F19" i="5"/>
  <c r="E19" i="5"/>
  <c r="D19" i="5"/>
  <c r="O18" i="5"/>
  <c r="N18" i="5"/>
  <c r="M18" i="5"/>
  <c r="L18" i="5"/>
  <c r="K18" i="5"/>
  <c r="J18" i="5"/>
  <c r="I18" i="5"/>
  <c r="H18" i="5"/>
  <c r="G18" i="5"/>
  <c r="F18" i="5"/>
  <c r="E18" i="5"/>
  <c r="D18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O15" i="5"/>
  <c r="N15" i="5"/>
  <c r="M15" i="5"/>
  <c r="L15" i="5"/>
  <c r="K15" i="5"/>
  <c r="J15" i="5"/>
  <c r="I15" i="5"/>
  <c r="H15" i="5"/>
  <c r="G15" i="5"/>
  <c r="F15" i="5"/>
  <c r="E15" i="5"/>
  <c r="D15" i="5"/>
  <c r="O14" i="5"/>
  <c r="N14" i="5"/>
  <c r="M14" i="5"/>
  <c r="L14" i="5"/>
  <c r="K14" i="5"/>
  <c r="J14" i="5"/>
  <c r="I14" i="5"/>
  <c r="H14" i="5"/>
  <c r="G14" i="5"/>
  <c r="F14" i="5"/>
  <c r="E14" i="5"/>
  <c r="D14" i="5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N12" i="5"/>
  <c r="M12" i="5"/>
  <c r="L12" i="5"/>
  <c r="K12" i="5"/>
  <c r="J12" i="5"/>
  <c r="I12" i="5"/>
  <c r="H12" i="5"/>
  <c r="G12" i="5"/>
  <c r="F12" i="5"/>
  <c r="E12" i="5"/>
  <c r="D12" i="5"/>
  <c r="O11" i="5"/>
  <c r="N11" i="5"/>
  <c r="M11" i="5"/>
  <c r="L11" i="5"/>
  <c r="K11" i="5"/>
  <c r="J11" i="5"/>
  <c r="I11" i="5"/>
  <c r="H11" i="5"/>
  <c r="G11" i="5"/>
  <c r="F11" i="5"/>
  <c r="E11" i="5"/>
  <c r="D11" i="5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O8" i="5"/>
  <c r="N8" i="5"/>
  <c r="M8" i="5"/>
  <c r="L8" i="5"/>
  <c r="K8" i="5"/>
  <c r="J8" i="5"/>
  <c r="I8" i="5"/>
  <c r="H8" i="5"/>
  <c r="G8" i="5"/>
  <c r="F8" i="5"/>
  <c r="E8" i="5"/>
  <c r="D8" i="5"/>
  <c r="O7" i="5"/>
  <c r="N7" i="5"/>
  <c r="M7" i="5"/>
  <c r="L7" i="5"/>
  <c r="K7" i="5"/>
  <c r="J7" i="5"/>
  <c r="I7" i="5"/>
  <c r="H7" i="5"/>
  <c r="G7" i="5"/>
  <c r="F7" i="5"/>
  <c r="E7" i="5"/>
  <c r="D7" i="5"/>
  <c r="O6" i="5"/>
  <c r="N6" i="5"/>
  <c r="M6" i="5"/>
  <c r="L6" i="5"/>
  <c r="K6" i="5"/>
  <c r="J6" i="5"/>
  <c r="I6" i="5"/>
  <c r="H6" i="5"/>
  <c r="G6" i="5"/>
  <c r="F6" i="5"/>
  <c r="E6" i="5"/>
  <c r="D6" i="5"/>
  <c r="O5" i="5"/>
  <c r="N5" i="5"/>
  <c r="M5" i="5"/>
  <c r="L5" i="5"/>
  <c r="K5" i="5"/>
  <c r="J5" i="5"/>
  <c r="I5" i="5"/>
  <c r="H5" i="5"/>
  <c r="G5" i="5"/>
  <c r="F5" i="5"/>
  <c r="E5" i="5"/>
  <c r="D5" i="5"/>
</calcChain>
</file>

<file path=xl/sharedStrings.xml><?xml version="1.0" encoding="utf-8"?>
<sst xmlns="http://schemas.openxmlformats.org/spreadsheetml/2006/main" count="1685" uniqueCount="586">
  <si>
    <t xml:space="preserve"> </t>
  </si>
  <si>
    <t>25115267235</t>
  </si>
  <si>
    <t>M</t>
  </si>
  <si>
    <t>M'</t>
  </si>
  <si>
    <t>F</t>
  </si>
  <si>
    <t>A</t>
  </si>
  <si>
    <t>المركز</t>
  </si>
  <si>
    <t>الخاصة</t>
  </si>
  <si>
    <t>خصة العرض</t>
  </si>
  <si>
    <t>علامة</t>
  </si>
  <si>
    <t>السنة
الهجرية</t>
  </si>
  <si>
    <t>TAHUN MAJMU'AH</t>
  </si>
  <si>
    <t>TA'DIL I (T1) DENGAN DALIL (M)</t>
  </si>
  <si>
    <t>TA'DIL II (T2) DENGAN DALIL (2xM)</t>
  </si>
  <si>
    <t>Tadil T III (T3) dengan dalil (M')</t>
  </si>
  <si>
    <t>Dr</t>
  </si>
  <si>
    <t>0</t>
  </si>
  <si>
    <t>30</t>
  </si>
  <si>
    <t>60</t>
  </si>
  <si>
    <t>90</t>
  </si>
  <si>
    <t>120</t>
  </si>
  <si>
    <t>150</t>
  </si>
  <si>
    <t>0,0000</t>
  </si>
  <si>
    <t>-0,3450</t>
  </si>
  <si>
    <t>-0,1910</t>
  </si>
  <si>
    <t>0,3450</t>
  </si>
  <si>
    <t>0,1910</t>
  </si>
  <si>
    <t>0,2560</t>
  </si>
  <si>
    <t>0,3070</t>
  </si>
  <si>
    <t>-0,3890</t>
  </si>
  <si>
    <t>0,3890</t>
  </si>
  <si>
    <t>-0,3910</t>
  </si>
  <si>
    <t>0,3910</t>
  </si>
  <si>
    <t>-0,3070</t>
  </si>
  <si>
    <t>-0,2560</t>
  </si>
  <si>
    <t>Ta'dil IV (T4) Dengan dalil (2xM')</t>
  </si>
  <si>
    <t>180</t>
  </si>
  <si>
    <t>210</t>
  </si>
  <si>
    <t>240</t>
  </si>
  <si>
    <t>270</t>
  </si>
  <si>
    <t>300</t>
  </si>
  <si>
    <t>330</t>
  </si>
  <si>
    <t>1</t>
  </si>
  <si>
    <t>2</t>
  </si>
  <si>
    <t>3</t>
  </si>
  <si>
    <t>4</t>
  </si>
  <si>
    <t>0,0090</t>
  </si>
  <si>
    <t>5</t>
  </si>
  <si>
    <t>0,0160</t>
  </si>
  <si>
    <t>-0,0160</t>
  </si>
  <si>
    <t>6</t>
  </si>
  <si>
    <t>0,0130</t>
  </si>
  <si>
    <t>-0,0130</t>
  </si>
  <si>
    <t>7</t>
  </si>
  <si>
    <t>0,0020</t>
  </si>
  <si>
    <t>-0,0020</t>
  </si>
  <si>
    <t>8</t>
  </si>
  <si>
    <t>0,0060</t>
  </si>
  <si>
    <t>-0,0060</t>
  </si>
  <si>
    <t>9</t>
  </si>
  <si>
    <t>0,0150</t>
  </si>
  <si>
    <t>-0,0150</t>
  </si>
  <si>
    <t>10</t>
  </si>
  <si>
    <t>11</t>
  </si>
  <si>
    <t>12</t>
  </si>
  <si>
    <t>0,0050</t>
  </si>
  <si>
    <t>-0,0120</t>
  </si>
  <si>
    <t>-0,0050</t>
  </si>
  <si>
    <t>13</t>
  </si>
  <si>
    <t>0,0110</t>
  </si>
  <si>
    <t>-0,0110</t>
  </si>
  <si>
    <t>14</t>
  </si>
  <si>
    <t>15</t>
  </si>
  <si>
    <t>16</t>
  </si>
  <si>
    <t>17</t>
  </si>
  <si>
    <t>18</t>
  </si>
  <si>
    <t>0,0120</t>
  </si>
  <si>
    <t>19</t>
  </si>
  <si>
    <t>20</t>
  </si>
  <si>
    <t>21</t>
  </si>
  <si>
    <t>22</t>
  </si>
  <si>
    <t>23</t>
  </si>
  <si>
    <t>24</t>
  </si>
  <si>
    <t>25</t>
  </si>
  <si>
    <t>26</t>
  </si>
  <si>
    <t>-0,0090</t>
  </si>
  <si>
    <t>27</t>
  </si>
  <si>
    <t>28</t>
  </si>
  <si>
    <t>29</t>
  </si>
  <si>
    <t>TA'DIL V (T5) DENGAN DALIL (M+M')</t>
  </si>
  <si>
    <t>TA'DIL VI (T6) DENGAN DALIL (M-M')</t>
  </si>
  <si>
    <t>TA'DIL VII (T7) DENGAN DALIL (2xF)</t>
  </si>
  <si>
    <t>TA'DIL VIII (T8) DENGAN DALIL (2xF-M')</t>
  </si>
  <si>
    <t>0.0067</t>
  </si>
  <si>
    <t>السنه الهجريه</t>
  </si>
  <si>
    <t>العلامة</t>
  </si>
  <si>
    <t>الا يام</t>
  </si>
  <si>
    <t>وسط الشمس</t>
  </si>
  <si>
    <t xml:space="preserve">خاصتها </t>
  </si>
  <si>
    <t>وسط القمر</t>
  </si>
  <si>
    <t>خاصتها</t>
  </si>
  <si>
    <t>خاصتة العرض</t>
  </si>
  <si>
    <t>البعد</t>
  </si>
  <si>
    <t>الميل الكلى</t>
  </si>
  <si>
    <t>الوقت النجمى</t>
  </si>
  <si>
    <t>Alamah</t>
  </si>
  <si>
    <t>h</t>
  </si>
  <si>
    <t>p</t>
  </si>
  <si>
    <t>S</t>
  </si>
  <si>
    <t>m</t>
  </si>
  <si>
    <t>N</t>
  </si>
  <si>
    <t>D</t>
  </si>
  <si>
    <t>O</t>
  </si>
  <si>
    <t>ST</t>
  </si>
  <si>
    <t>269,0590</t>
  </si>
  <si>
    <t>137143</t>
  </si>
  <si>
    <t>332,0430</t>
  </si>
  <si>
    <t>10,4575</t>
  </si>
  <si>
    <t>48,8720</t>
  </si>
  <si>
    <t>34,6050</t>
  </si>
  <si>
    <t>265,0960</t>
  </si>
  <si>
    <t>250,8360</t>
  </si>
  <si>
    <t>68,6620</t>
  </si>
  <si>
    <t>227,2379</t>
  </si>
  <si>
    <t>265,1547</t>
  </si>
  <si>
    <t>299,1620</t>
  </si>
  <si>
    <t>246,4050</t>
  </si>
  <si>
    <t>290, 8297</t>
  </si>
  <si>
    <t>329, 0997</t>
  </si>
  <si>
    <t>1,7500</t>
  </si>
  <si>
    <t>113,9040</t>
  </si>
  <si>
    <t>341,4020</t>
  </si>
  <si>
    <t>TAHUN MABSUTHOH</t>
  </si>
  <si>
    <t>354</t>
  </si>
  <si>
    <t>3,1900</t>
  </si>
  <si>
    <t>708</t>
  </si>
  <si>
    <t>337,8050</t>
  </si>
  <si>
    <t>250,0150</t>
  </si>
  <si>
    <t>6,3800</t>
  </si>
  <si>
    <t>1063</t>
  </si>
  <si>
    <t>1417</t>
  </si>
  <si>
    <t>153,0950</t>
  </si>
  <si>
    <t>1771</t>
  </si>
  <si>
    <t>2126</t>
  </si>
  <si>
    <t>56,1750</t>
  </si>
  <si>
    <t>2480</t>
  </si>
  <si>
    <t>2834</t>
  </si>
  <si>
    <t>3189</t>
  </si>
  <si>
    <t>3543</t>
  </si>
  <si>
    <t>3898</t>
  </si>
  <si>
    <t>359,5400</t>
  </si>
  <si>
    <t>4252</t>
  </si>
  <si>
    <t>4606</t>
  </si>
  <si>
    <t>-0,001640</t>
  </si>
  <si>
    <t>4961</t>
  </si>
  <si>
    <t>209,5630</t>
  </si>
  <si>
    <t>5315</t>
  </si>
  <si>
    <t>5669</t>
  </si>
  <si>
    <t>187,3680</t>
  </si>
  <si>
    <t>6024</t>
  </si>
  <si>
    <t>6378</t>
  </si>
  <si>
    <t>6732</t>
  </si>
  <si>
    <t>155,3780</t>
  </si>
  <si>
    <t>143,5010</t>
  </si>
  <si>
    <t>348,1230</t>
  </si>
  <si>
    <t>7087</t>
  </si>
  <si>
    <t>156,4050</t>
  </si>
  <si>
    <t>7441</t>
  </si>
  <si>
    <t>134,2020</t>
  </si>
  <si>
    <t>159,5950</t>
  </si>
  <si>
    <t>7796</t>
  </si>
  <si>
    <t>359,0800</t>
  </si>
  <si>
    <t>8150</t>
  </si>
  <si>
    <t>113,0260</t>
  </si>
  <si>
    <t>279,6930</t>
  </si>
  <si>
    <t>8504</t>
  </si>
  <si>
    <t>8859</t>
  </si>
  <si>
    <t>91,8500</t>
  </si>
  <si>
    <t>9213</t>
  </si>
  <si>
    <t>-0,003280</t>
  </si>
  <si>
    <t>9567</t>
  </si>
  <si>
    <t>58,5850</t>
  </si>
  <si>
    <t>9922</t>
  </si>
  <si>
    <t>59,1260</t>
  </si>
  <si>
    <t>10277</t>
  </si>
  <si>
    <t>10631</t>
  </si>
  <si>
    <t>37,9166</t>
  </si>
  <si>
    <t>Bulan</t>
  </si>
  <si>
    <t>-0,000021</t>
  </si>
  <si>
    <t>-0,000032</t>
  </si>
  <si>
    <t>-0,000042</t>
  </si>
  <si>
    <t>-0,000053</t>
  </si>
  <si>
    <t>-0,000063</t>
  </si>
  <si>
    <t>-0,000074</t>
  </si>
  <si>
    <t>-0,000084</t>
  </si>
  <si>
    <t>-0,000095</t>
  </si>
  <si>
    <t>-0,000105</t>
  </si>
  <si>
    <t>-0,000116</t>
  </si>
  <si>
    <t>0,9856</t>
  </si>
  <si>
    <t>-0,000001</t>
  </si>
  <si>
    <t>-0,000002</t>
  </si>
  <si>
    <t>-0,000003</t>
  </si>
  <si>
    <t>9, 8565</t>
  </si>
  <si>
    <t>-0,000004</t>
  </si>
  <si>
    <t>-0,000005</t>
  </si>
  <si>
    <t>-0,000006</t>
  </si>
  <si>
    <t>-0,000007</t>
  </si>
  <si>
    <t>-0,000008</t>
  </si>
  <si>
    <t>22, 6699</t>
  </si>
  <si>
    <t>-0,000009</t>
  </si>
  <si>
    <t>-0,000010</t>
  </si>
  <si>
    <t>-0,000011</t>
  </si>
  <si>
    <t>خاصته</t>
  </si>
  <si>
    <t>0.0058</t>
  </si>
  <si>
    <t>0.0056</t>
  </si>
  <si>
    <t>0.0050</t>
  </si>
  <si>
    <t>0.1295</t>
  </si>
  <si>
    <t>0.0044</t>
  </si>
  <si>
    <t>0.0047</t>
  </si>
  <si>
    <t xml:space="preserve"> N</t>
  </si>
  <si>
    <t xml:space="preserve"> A</t>
  </si>
  <si>
    <t xml:space="preserve"> M</t>
  </si>
  <si>
    <t xml:space="preserve"> m</t>
  </si>
  <si>
    <t xml:space="preserve"> S</t>
  </si>
  <si>
    <t>TA'DIL S1 DENGAN DALIL (M)</t>
  </si>
  <si>
    <t>TA'DIL S2 DENGAN DALIL (2xm)</t>
  </si>
  <si>
    <t>TA'DIL R1 DENGAN DALIL (M)</t>
  </si>
  <si>
    <t>TA'DIL R2 DENGAN DALIL (2xm)</t>
  </si>
  <si>
    <t>TA'DIL M1 DENGAN DALIL (A)</t>
  </si>
  <si>
    <t>TA'DIL M2 DENGAN DALIL (2xD-A)</t>
  </si>
  <si>
    <t>TA'DIL M3 DENGAN DALIL (2xD)</t>
  </si>
  <si>
    <t>TA'DIL M4 DENGAN DALIL (2xA)</t>
  </si>
  <si>
    <t>Ta'dil M5 dengan dalil (m)</t>
  </si>
  <si>
    <t>Ta'dil M6 dengan dalil (2x N)</t>
  </si>
  <si>
    <t>Ta'dil M7 dengan dalil (2xD-2A)</t>
  </si>
  <si>
    <t>Ta'dil M8 dengan dalil (2D-m-A)</t>
  </si>
  <si>
    <t>Ta'dil  M9 dengan dalil (2D+A)</t>
  </si>
  <si>
    <t>-0,0990</t>
  </si>
  <si>
    <t>0,0990</t>
  </si>
  <si>
    <t>-0,1000</t>
  </si>
  <si>
    <t>-0,0980</t>
  </si>
  <si>
    <t>0,1000</t>
  </si>
  <si>
    <t>0,0980</t>
  </si>
  <si>
    <t>0,0010</t>
  </si>
  <si>
    <t>-0,0010</t>
  </si>
  <si>
    <t>0,1850</t>
  </si>
  <si>
    <t>0,1570</t>
  </si>
  <si>
    <t>-0,0040</t>
  </si>
  <si>
    <t>-0,0970</t>
  </si>
  <si>
    <t>0,0040</t>
  </si>
  <si>
    <t>0,0970</t>
  </si>
  <si>
    <t>0,0570</t>
  </si>
  <si>
    <t>-0,0570</t>
  </si>
  <si>
    <t>0,0250</t>
  </si>
  <si>
    <t>-0,0250</t>
  </si>
  <si>
    <t>0,0840</t>
  </si>
  <si>
    <t>0,0320</t>
  </si>
  <si>
    <t>-0,0320</t>
  </si>
  <si>
    <t>0,0030</t>
  </si>
  <si>
    <t>-0,0030</t>
  </si>
  <si>
    <t>0,0290</t>
  </si>
  <si>
    <t>-0,0290</t>
  </si>
  <si>
    <t>-0,0080</t>
  </si>
  <si>
    <t>0,0080</t>
  </si>
  <si>
    <t>-0,0100</t>
  </si>
  <si>
    <t>0,0100</t>
  </si>
  <si>
    <t>0,0530</t>
  </si>
  <si>
    <t>-0,0530</t>
  </si>
  <si>
    <t>0,0470</t>
  </si>
  <si>
    <t>-0,0470</t>
  </si>
  <si>
    <t>-0,0230</t>
  </si>
  <si>
    <t>0,0070</t>
  </si>
  <si>
    <t>-0,0070</t>
  </si>
  <si>
    <t>-0,1060</t>
  </si>
  <si>
    <t>0,1060</t>
  </si>
  <si>
    <t>-0,0220</t>
  </si>
  <si>
    <t>0,0450</t>
  </si>
  <si>
    <t>-0,0450</t>
  </si>
  <si>
    <t>0,0420</t>
  </si>
  <si>
    <t>0,0200</t>
  </si>
  <si>
    <t>-0,0420</t>
  </si>
  <si>
    <t>-0,0200</t>
  </si>
  <si>
    <t>-0,0720</t>
  </si>
  <si>
    <t>-0,0410</t>
  </si>
  <si>
    <t>0,0720</t>
  </si>
  <si>
    <t>0,0410</t>
  </si>
  <si>
    <t>0,0370</t>
  </si>
  <si>
    <t>-0,0370</t>
  </si>
  <si>
    <t>0,1190</t>
  </si>
  <si>
    <t>0,1740</t>
  </si>
  <si>
    <t>0,1750</t>
  </si>
  <si>
    <t>-0,0750</t>
  </si>
  <si>
    <t>0,0750</t>
  </si>
  <si>
    <t>0,0540</t>
  </si>
  <si>
    <t>0,0560</t>
  </si>
  <si>
    <t>-0,0540</t>
  </si>
  <si>
    <t>-0,0560</t>
  </si>
  <si>
    <t>0,0350</t>
  </si>
  <si>
    <t>-0,0350</t>
  </si>
  <si>
    <t>-0,0850</t>
  </si>
  <si>
    <t>0,0850</t>
  </si>
  <si>
    <t>0,1770</t>
  </si>
  <si>
    <t>-0,0780</t>
  </si>
  <si>
    <t>0,0780</t>
  </si>
  <si>
    <t>0,0430</t>
  </si>
  <si>
    <t>-0,0430</t>
  </si>
  <si>
    <t>0,0510</t>
  </si>
  <si>
    <t>0,0520</t>
  </si>
  <si>
    <t>0,0390</t>
  </si>
  <si>
    <t>-0,0510</t>
  </si>
  <si>
    <t>-0,0520</t>
  </si>
  <si>
    <t>-0,0390</t>
  </si>
  <si>
    <t>-0,1110</t>
  </si>
  <si>
    <t>0,1110</t>
  </si>
  <si>
    <t>0,1140</t>
  </si>
  <si>
    <t>0,0220</t>
  </si>
  <si>
    <t>0,0230</t>
  </si>
  <si>
    <t>-0,1570</t>
  </si>
  <si>
    <t>-0,1740</t>
  </si>
  <si>
    <t>-0,1750</t>
  </si>
  <si>
    <t>-0,1770</t>
  </si>
  <si>
    <t>-0,1190</t>
  </si>
  <si>
    <t>-0,1140</t>
  </si>
  <si>
    <t>-0,1850</t>
  </si>
  <si>
    <t>-0,0840</t>
  </si>
  <si>
    <t>Ta'dil r1 dengan dalil (A)</t>
  </si>
  <si>
    <t>Ta'dil R2 dengan dalil ( 2x D - A)</t>
  </si>
  <si>
    <t>Ta'dil R3 dengan dalil  (2xD)</t>
  </si>
  <si>
    <t>Ta'dil r4 dengan dalil (2xA)</t>
  </si>
  <si>
    <t>-20905,3550</t>
  </si>
  <si>
    <t>2090,3550</t>
  </si>
  <si>
    <t>-3699,1110</t>
  </si>
  <si>
    <t>1849,5555</t>
  </si>
  <si>
    <t>3203,5241</t>
  </si>
  <si>
    <t>3699,1110</t>
  </si>
  <si>
    <t>-20902,1710</t>
  </si>
  <si>
    <t>20902,1710</t>
  </si>
  <si>
    <t>-3170,7570</t>
  </si>
  <si>
    <t>64,5584</t>
  </si>
  <si>
    <t>1905,1830</t>
  </si>
  <si>
    <t>3235,3154</t>
  </si>
  <si>
    <t>3698,5476</t>
  </si>
  <si>
    <t>3170,7570</t>
  </si>
  <si>
    <t>1793,3646</t>
  </si>
  <si>
    <t>-1905,1830</t>
  </si>
  <si>
    <t>-2955,9680</t>
  </si>
  <si>
    <t>-1477,9840</t>
  </si>
  <si>
    <t>1477,9840</t>
  </si>
  <si>
    <t>2955,9680</t>
  </si>
  <si>
    <t>1477,9804</t>
  </si>
  <si>
    <t>-569,9250</t>
  </si>
  <si>
    <t>569,9250</t>
  </si>
  <si>
    <t>-20892,6200</t>
  </si>
  <si>
    <t>20892,6200</t>
  </si>
  <si>
    <t>129,0971</t>
  </si>
  <si>
    <t>1960,2302</t>
  </si>
  <si>
    <t>3266,1212</t>
  </si>
  <si>
    <t>3696,8576</t>
  </si>
  <si>
    <t>3137,0240</t>
  </si>
  <si>
    <t>1736,6274</t>
  </si>
  <si>
    <t>-17532,7060</t>
  </si>
  <si>
    <t>17532,7060</t>
  </si>
  <si>
    <t>193,5965</t>
  </si>
  <si>
    <t>2014,6802</t>
  </si>
  <si>
    <t>3295,9320</t>
  </si>
  <si>
    <t>3694,0415</t>
  </si>
  <si>
    <t>3102,3355</t>
  </si>
  <si>
    <t>1679,3613</t>
  </si>
  <si>
    <t>-3295,9320</t>
  </si>
  <si>
    <t>-2506,8030</t>
  </si>
  <si>
    <t>2506,8030</t>
  </si>
  <si>
    <t>-3066,7020</t>
  </si>
  <si>
    <t>258,0369</t>
  </si>
  <si>
    <t>206,8516</t>
  </si>
  <si>
    <t>3324,7389</t>
  </si>
  <si>
    <t>3690,1002</t>
  </si>
  <si>
    <t>3066,7020</t>
  </si>
  <si>
    <t>1621,5835</t>
  </si>
  <si>
    <t>11990,8190</t>
  </si>
  <si>
    <t>18946,6860</t>
  </si>
  <si>
    <t>-11990,8190</t>
  </si>
  <si>
    <t>-18946,6860</t>
  </si>
  <si>
    <t>322,3988</t>
  </si>
  <si>
    <t>2121,7229</t>
  </si>
  <si>
    <t>3352,5331</t>
  </si>
  <si>
    <t>3685,0348</t>
  </si>
  <si>
    <t>3030,1343</t>
  </si>
  <si>
    <t>1563,3119</t>
  </si>
  <si>
    <t>39,7560</t>
  </si>
  <si>
    <t>-39,7560</t>
  </si>
  <si>
    <t>-1504,5640</t>
  </si>
  <si>
    <t>386,6624</t>
  </si>
  <si>
    <t>2174,2829</t>
  </si>
  <si>
    <t>3379,3061</t>
  </si>
  <si>
    <t>3678,8469</t>
  </si>
  <si>
    <t>2992,6437</t>
  </si>
  <si>
    <t>1504,5640</t>
  </si>
  <si>
    <t>-8168,3730</t>
  </si>
  <si>
    <t>8168,3730</t>
  </si>
  <si>
    <t>450,8082</t>
  </si>
  <si>
    <t>2226,1806</t>
  </si>
  <si>
    <t>3405,0496</t>
  </si>
  <si>
    <t>3671,5384</t>
  </si>
  <si>
    <t>2954,2414</t>
  </si>
  <si>
    <t>1445,3578</t>
  </si>
  <si>
    <t>-450,8082</t>
  </si>
  <si>
    <t>-461,0790</t>
  </si>
  <si>
    <t>461,0790</t>
  </si>
  <si>
    <t>514,8167</t>
  </si>
  <si>
    <t>2277,4001</t>
  </si>
  <si>
    <t>3429,7560</t>
  </si>
  <si>
    <t>3663,1115</t>
  </si>
  <si>
    <t>2914,9392</t>
  </si>
  <si>
    <t>1385,7114</t>
  </si>
  <si>
    <t>-3429,7560</t>
  </si>
  <si>
    <t>-2360,7410</t>
  </si>
  <si>
    <t>1778,9460</t>
  </si>
  <si>
    <t>2360,7410</t>
  </si>
  <si>
    <t>-1778,9460</t>
  </si>
  <si>
    <t>3270,3180</t>
  </si>
  <si>
    <t>-3270,3180</t>
  </si>
  <si>
    <t>578,6685</t>
  </si>
  <si>
    <t>2327,9260</t>
  </si>
  <si>
    <t>3453,4176</t>
  </si>
  <si>
    <t>3653,5688</t>
  </si>
  <si>
    <t>2874,7492</t>
  </si>
  <si>
    <t>1325,6428</t>
  </si>
  <si>
    <t>-2327,9260</t>
  </si>
  <si>
    <t>-449,1070</t>
  </si>
  <si>
    <t>449,1070</t>
  </si>
  <si>
    <t>-16014,4310</t>
  </si>
  <si>
    <t>16014,4310</t>
  </si>
  <si>
    <t>642,3439</t>
  </si>
  <si>
    <t>2377,7427</t>
  </si>
  <si>
    <t>3476,0273</t>
  </si>
  <si>
    <t>3642,9132</t>
  </si>
  <si>
    <t>2833,6834</t>
  </si>
  <si>
    <t>1265,1705</t>
  </si>
  <si>
    <t>705,8237</t>
  </si>
  <si>
    <t>2426,8352</t>
  </si>
  <si>
    <t>3497,5782</t>
  </si>
  <si>
    <t>3631,1479</t>
  </si>
  <si>
    <t>2791,7545</t>
  </si>
  <si>
    <t>1204,3127</t>
  </si>
  <si>
    <t>-6460,1100</t>
  </si>
  <si>
    <t>6460,1100</t>
  </si>
  <si>
    <t>769,0884</t>
  </si>
  <si>
    <t>2475,1884</t>
  </si>
  <si>
    <t>3518,0636</t>
  </si>
  <si>
    <t>3618,2765</t>
  </si>
  <si>
    <t>2748,9752</t>
  </si>
  <si>
    <t>1143,0882</t>
  </si>
  <si>
    <t>-962,3690</t>
  </si>
  <si>
    <t>962,3690</t>
  </si>
  <si>
    <t>-3604,3030</t>
  </si>
  <si>
    <t>832,1189</t>
  </si>
  <si>
    <t>2522,7876</t>
  </si>
  <si>
    <t>3537,4774</t>
  </si>
  <si>
    <t>3604,3030</t>
  </si>
  <si>
    <t>2705,3585</t>
  </si>
  <si>
    <t>1081,5154</t>
  </si>
  <si>
    <t>-2891,3730</t>
  </si>
  <si>
    <t>2891,3730</t>
  </si>
  <si>
    <t>20095,5170</t>
  </si>
  <si>
    <t>-20095,5170</t>
  </si>
  <si>
    <t>894,8959</t>
  </si>
  <si>
    <t>2569,6184</t>
  </si>
  <si>
    <t>3555,8137</t>
  </si>
  <si>
    <t>3589,2316</t>
  </si>
  <si>
    <t>2660,9178</t>
  </si>
  <si>
    <t>1019,6132</t>
  </si>
  <si>
    <t>545,0220</t>
  </si>
  <si>
    <t>-545,0220</t>
  </si>
  <si>
    <t>-5410,7040</t>
  </si>
  <si>
    <t>5410,7040</t>
  </si>
  <si>
    <t>957,4004</t>
  </si>
  <si>
    <t>2615,6665</t>
  </si>
  <si>
    <t>3573,0668</t>
  </si>
  <si>
    <t>-2090,1850</t>
  </si>
  <si>
    <t>2090,1850</t>
  </si>
  <si>
    <t>-1939,2895</t>
  </si>
  <si>
    <t>-193,5965</t>
  </si>
  <si>
    <t>-318,6980</t>
  </si>
  <si>
    <t>318,6980</t>
  </si>
  <si>
    <t>-3137,0240</t>
  </si>
  <si>
    <t>-1793,3646</t>
  </si>
  <si>
    <t>18104,5685</t>
  </si>
  <si>
    <t>-1849,5555</t>
  </si>
  <si>
    <t>جدول الحركات في الستين المبسوطة لطلب الإجتماع</t>
  </si>
  <si>
    <t>جدول الحركات في الشهور الطلب الاجتماع</t>
  </si>
  <si>
    <t>TAHUN HIJRIAH</t>
  </si>
  <si>
    <t>الشهور
الهجرية</t>
  </si>
  <si>
    <t>MUHARRAM</t>
  </si>
  <si>
    <t>SHAFAR</t>
  </si>
  <si>
    <t>RABIUL AWWAL</t>
  </si>
  <si>
    <t>RABIUL AKHIR</t>
  </si>
  <si>
    <t>JUMADUL ULA</t>
  </si>
  <si>
    <t>JUMADUL AKHIROH</t>
  </si>
  <si>
    <t>RAJAB</t>
  </si>
  <si>
    <t>SYABAN</t>
  </si>
  <si>
    <t>RAMADHAN</t>
  </si>
  <si>
    <t>SYAWWAL</t>
  </si>
  <si>
    <t>DZUL QAIDAH</t>
  </si>
  <si>
    <t>DZUL HIJJAH</t>
  </si>
  <si>
    <t>Tgl</t>
  </si>
  <si>
    <t>JANUARI</t>
  </si>
  <si>
    <t>PEBRUARI</t>
  </si>
  <si>
    <t xml:space="preserve">MARET </t>
  </si>
  <si>
    <t>APRIL</t>
  </si>
  <si>
    <t>MEI</t>
  </si>
  <si>
    <t>JUNI</t>
  </si>
  <si>
    <t>Deklinasi</t>
  </si>
  <si>
    <t>Tdl Wkt</t>
  </si>
  <si>
    <t xml:space="preserve">Tgl </t>
  </si>
  <si>
    <t>JULI</t>
  </si>
  <si>
    <t>AGUSTUS</t>
  </si>
  <si>
    <t>SEPTEMBER</t>
  </si>
  <si>
    <t>OKTOBER</t>
  </si>
  <si>
    <t>NOVEMBER</t>
  </si>
  <si>
    <t>DESEMBER</t>
  </si>
  <si>
    <t>Ta'dil B1 dengan dalil (N)</t>
  </si>
  <si>
    <t>0,1790</t>
  </si>
  <si>
    <t>4,3490</t>
  </si>
  <si>
    <t>-0,1790</t>
  </si>
  <si>
    <t>-4,3490</t>
  </si>
  <si>
    <t>2,7930</t>
  </si>
  <si>
    <t>-2,7930</t>
  </si>
  <si>
    <t>0,4470</t>
  </si>
  <si>
    <t>-0,4470</t>
  </si>
  <si>
    <t>0,5360</t>
  </si>
  <si>
    <t>-0,5360</t>
  </si>
  <si>
    <t>0,6250</t>
  </si>
  <si>
    <t>5,0900</t>
  </si>
  <si>
    <t>-0,6250</t>
  </si>
  <si>
    <t>-5,0900</t>
  </si>
  <si>
    <t>5,0340</t>
  </si>
  <si>
    <t>-5,0340</t>
  </si>
  <si>
    <t>3,8110</t>
  </si>
  <si>
    <t>-3,8110</t>
  </si>
  <si>
    <t>Ta'dil B2 dengan dalil (A+N)</t>
  </si>
  <si>
    <t>0,2430</t>
  </si>
  <si>
    <t>-0,2430</t>
  </si>
  <si>
    <t>0,1360</t>
  </si>
  <si>
    <t>-0,1360</t>
  </si>
  <si>
    <t>0,2380</t>
  </si>
  <si>
    <t>-0,2380</t>
  </si>
  <si>
    <t>0,2500</t>
  </si>
  <si>
    <t>-0,2500</t>
  </si>
  <si>
    <t>0,1230</t>
  </si>
  <si>
    <t>-0,1230</t>
  </si>
  <si>
    <t>0,2270</t>
  </si>
  <si>
    <t>-0,2270</t>
  </si>
  <si>
    <t>0,2620</t>
  </si>
  <si>
    <t>-0,2620</t>
  </si>
  <si>
    <t>0,2150</t>
  </si>
  <si>
    <t>0,0960</t>
  </si>
  <si>
    <t>-0,2150</t>
  </si>
  <si>
    <t>-0,0960</t>
  </si>
  <si>
    <t>0,0820</t>
  </si>
  <si>
    <t>-0,0820</t>
  </si>
  <si>
    <t>0,2710</t>
  </si>
  <si>
    <t>-0,2710</t>
  </si>
  <si>
    <t>Ta'dil B3 dengan dalil (A-N)</t>
  </si>
  <si>
    <t>0,1430</t>
  </si>
  <si>
    <t>-0,1430</t>
  </si>
  <si>
    <t>0,1710</t>
  </si>
  <si>
    <t>0,2750</t>
  </si>
  <si>
    <t>0,1040</t>
  </si>
  <si>
    <t>-0,1710</t>
  </si>
  <si>
    <t>-0,2750</t>
  </si>
  <si>
    <t>-0,1040</t>
  </si>
  <si>
    <t>0,0950</t>
  </si>
  <si>
    <t>-0,0950</t>
  </si>
  <si>
    <t>0,2770</t>
  </si>
  <si>
    <t>-0,2770</t>
  </si>
  <si>
    <t>Ta'dil B4 dengan dalil (2xD-N)</t>
  </si>
  <si>
    <t>0,1500</t>
  </si>
  <si>
    <t>-0,1500</t>
  </si>
  <si>
    <t>0,1530</t>
  </si>
  <si>
    <t>-0,1530</t>
  </si>
  <si>
    <t>-0,1730</t>
  </si>
  <si>
    <t>0,1090</t>
  </si>
  <si>
    <t>-0,1090</t>
  </si>
  <si>
    <t>0,0360</t>
  </si>
  <si>
    <t>-0,0360</t>
  </si>
  <si>
    <t>0,1730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</si>
</sst>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"/>
    <numFmt numFmtId="167" formatCode="0.0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  <charset val="1"/>
    </font>
    <font>
      <sz val="12"/>
      <color rgb="FF9C57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7">
    <xf numFmtId="0" fontId="0" fillId="0" borderId="0" xfId="0"/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49" fontId="7" fillId="2" borderId="1" xfId="1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top" wrapText="1"/>
    </xf>
    <xf numFmtId="166" fontId="3" fillId="0" borderId="1" xfId="0" applyNumberFormat="1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/>
    </xf>
    <xf numFmtId="0" fontId="2" fillId="0" borderId="0" xfId="0" applyFont="1"/>
    <xf numFmtId="4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0" fillId="0" borderId="0" xfId="0" applyNumberFormat="1"/>
    <xf numFmtId="49" fontId="4" fillId="0" borderId="13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10" fillId="0" borderId="14" xfId="0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16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top"/>
    </xf>
    <xf numFmtId="167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0" fillId="5" borderId="13" xfId="0" applyFill="1" applyBorder="1"/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0" xfId="0" applyNumberFormat="1" applyFont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2" fillId="0" borderId="0" xfId="0" applyNumberFormat="1" applyFont="1"/>
    <xf numFmtId="49" fontId="6" fillId="0" borderId="1" xfId="0" applyNumberFormat="1" applyFont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372D-A175-4A3C-BB9C-BCCEE8CE5DCF}">
  <dimension ref="A1:CB76"/>
  <sheetViews>
    <sheetView topLeftCell="A16" zoomScale="90" zoomScaleNormal="90" zoomScaleSheetLayoutView="100" workbookViewId="0">
      <selection activeCell="L19" sqref="L19"/>
    </sheetView>
  </sheetViews>
  <sheetFormatPr defaultRowHeight="14.5" x14ac:dyDescent="0.35"/>
  <cols>
    <col min="2" max="2" width="12.54296875" customWidth="1"/>
    <col min="3" max="3" width="17.26953125" customWidth="1"/>
    <col min="4" max="4" width="14.54296875" customWidth="1"/>
    <col min="5" max="6" width="12.453125" customWidth="1"/>
    <col min="9" max="9" width="13" customWidth="1"/>
    <col min="10" max="10" width="15.453125" customWidth="1"/>
    <col min="11" max="11" width="14.1796875" customWidth="1"/>
    <col min="12" max="12" width="13.81640625" customWidth="1"/>
    <col min="13" max="13" width="12.26953125" customWidth="1"/>
    <col min="15" max="15" width="11.7265625" customWidth="1"/>
    <col min="16" max="16" width="10.26953125" customWidth="1"/>
    <col min="17" max="17" width="11" customWidth="1"/>
    <col min="20" max="20" width="11.81640625" customWidth="1"/>
    <col min="21" max="21" width="10.54296875" customWidth="1"/>
    <col min="22" max="22" width="11" customWidth="1"/>
    <col min="23" max="23" width="10.54296875" customWidth="1"/>
    <col min="24" max="24" width="10.7265625" customWidth="1"/>
    <col min="25" max="25" width="11.1796875" customWidth="1"/>
    <col min="26" max="26" width="12" customWidth="1"/>
    <col min="27" max="27" width="11.81640625" customWidth="1"/>
    <col min="30" max="30" width="11" customWidth="1"/>
    <col min="31" max="31" width="11.26953125" customWidth="1"/>
    <col min="32" max="32" width="12.26953125" customWidth="1"/>
    <col min="33" max="33" width="10.54296875" customWidth="1"/>
    <col min="35" max="35" width="11.453125" customWidth="1"/>
    <col min="36" max="36" width="11.7265625" customWidth="1"/>
    <col min="37" max="37" width="11.81640625" customWidth="1"/>
    <col min="38" max="42" width="9.54296875" bestFit="1" customWidth="1"/>
    <col min="54" max="54" width="10" customWidth="1"/>
    <col min="56" max="56" width="10.453125" customWidth="1"/>
    <col min="63" max="63" width="12.7265625" customWidth="1"/>
    <col min="65" max="65" width="9.1796875" customWidth="1"/>
    <col min="66" max="66" width="11.1796875" customWidth="1"/>
    <col min="67" max="67" width="10.1796875" customWidth="1"/>
    <col min="68" max="70" width="10" customWidth="1"/>
    <col min="71" max="72" width="9.54296875" bestFit="1" customWidth="1"/>
    <col min="73" max="73" width="11.7265625" customWidth="1"/>
    <col min="76" max="76" width="9.26953125" bestFit="1" customWidth="1"/>
    <col min="77" max="79" width="9.54296875" bestFit="1" customWidth="1"/>
    <col min="80" max="81" width="13.1796875" bestFit="1" customWidth="1"/>
    <col min="82" max="82" width="11.7265625" customWidth="1"/>
    <col min="83" max="83" width="14.453125" customWidth="1"/>
    <col min="84" max="84" width="12.453125" customWidth="1"/>
    <col min="85" max="85" width="13.1796875" customWidth="1"/>
    <col min="86" max="86" width="12.26953125" customWidth="1"/>
    <col min="87" max="87" width="16.26953125" customWidth="1"/>
    <col min="91" max="91" width="16.81640625" customWidth="1"/>
    <col min="92" max="92" width="16.26953125" customWidth="1"/>
    <col min="93" max="93" width="12.54296875" customWidth="1"/>
    <col min="94" max="94" width="15" customWidth="1"/>
    <col min="95" max="95" width="14.26953125" customWidth="1"/>
    <col min="96" max="96" width="12.81640625" customWidth="1"/>
    <col min="97" max="97" width="14.26953125" customWidth="1"/>
    <col min="98" max="98" width="12.54296875" customWidth="1"/>
    <col min="99" max="99" width="14" customWidth="1"/>
    <col min="100" max="100" width="11.453125" customWidth="1"/>
    <col min="101" max="101" width="13.26953125" customWidth="1"/>
  </cols>
  <sheetData>
    <row r="1" spans="1:55" x14ac:dyDescent="0.35">
      <c r="B1" s="35"/>
      <c r="C1" s="36"/>
      <c r="D1" s="36"/>
      <c r="E1" s="36"/>
      <c r="F1" s="36"/>
    </row>
    <row r="2" spans="1:55" ht="15" thickBot="1" x14ac:dyDescent="0.4">
      <c r="B2" s="37"/>
      <c r="C2" s="37"/>
      <c r="D2" s="37"/>
      <c r="E2" s="37"/>
      <c r="F2" s="37"/>
    </row>
    <row r="3" spans="1:55" ht="16" thickBot="1" x14ac:dyDescent="0.4">
      <c r="A3" t="s">
        <v>0</v>
      </c>
      <c r="B3" s="40" t="s">
        <v>11</v>
      </c>
      <c r="C3" s="40"/>
      <c r="D3" s="40"/>
      <c r="E3" s="40"/>
      <c r="F3" s="40"/>
      <c r="G3" s="4"/>
      <c r="H3" s="4"/>
      <c r="N3" s="4"/>
      <c r="O3" s="4"/>
      <c r="X3" s="4"/>
      <c r="Y3" s="4"/>
      <c r="AH3" s="4"/>
      <c r="BB3" s="4"/>
      <c r="BC3" s="4"/>
    </row>
    <row r="4" spans="1:55" ht="16" thickBot="1" x14ac:dyDescent="0.4">
      <c r="B4" s="38" t="s">
        <v>10</v>
      </c>
      <c r="C4" s="5" t="s">
        <v>9</v>
      </c>
      <c r="D4" s="5" t="s">
        <v>8</v>
      </c>
      <c r="E4" s="5" t="s">
        <v>7</v>
      </c>
      <c r="F4" s="5" t="s">
        <v>6</v>
      </c>
      <c r="G4" s="4"/>
      <c r="BB4" s="4"/>
      <c r="BC4" s="4"/>
    </row>
    <row r="5" spans="1:55" ht="16" thickBot="1" x14ac:dyDescent="0.4">
      <c r="B5" s="39"/>
      <c r="C5" s="6" t="s">
        <v>5</v>
      </c>
      <c r="D5" s="6" t="s">
        <v>4</v>
      </c>
      <c r="E5" s="6" t="s">
        <v>3</v>
      </c>
      <c r="F5" s="6" t="s">
        <v>2</v>
      </c>
      <c r="G5" s="4"/>
      <c r="BB5" s="4"/>
      <c r="BC5" s="4"/>
    </row>
    <row r="6" spans="1:55" ht="16" thickBot="1" x14ac:dyDescent="0.4">
      <c r="B6" s="5">
        <v>1</v>
      </c>
      <c r="C6" s="5">
        <v>2</v>
      </c>
      <c r="D6" s="5">
        <v>3</v>
      </c>
      <c r="E6" s="5">
        <v>4</v>
      </c>
      <c r="F6" s="5">
        <v>5</v>
      </c>
      <c r="G6" s="4"/>
      <c r="BB6" s="4"/>
      <c r="BC6" s="4"/>
    </row>
    <row r="7" spans="1:55" ht="16" thickBot="1" x14ac:dyDescent="0.4">
      <c r="B7" s="2">
        <v>-180</v>
      </c>
      <c r="C7" s="1">
        <v>1884297.0508000001</v>
      </c>
      <c r="D7" s="1">
        <v>330.62040000000002</v>
      </c>
      <c r="E7" s="1">
        <v>6.7172999999999998</v>
      </c>
      <c r="F7" s="1">
        <v>357.75170000000003</v>
      </c>
      <c r="G7" s="4"/>
      <c r="BB7" s="4"/>
      <c r="BC7" s="4"/>
    </row>
    <row r="8" spans="1:55" ht="16" thickBot="1" x14ac:dyDescent="0.4">
      <c r="B8" s="2">
        <v>-150</v>
      </c>
      <c r="C8" s="1">
        <v>1894928.0615000001</v>
      </c>
      <c r="D8" s="1">
        <v>212.0162</v>
      </c>
      <c r="E8" s="1">
        <v>300.71550000000002</v>
      </c>
      <c r="F8" s="1">
        <v>35.680300000000003</v>
      </c>
      <c r="G8" s="4"/>
      <c r="BB8" s="4"/>
      <c r="BC8" s="4"/>
    </row>
    <row r="9" spans="1:55" ht="16" thickBot="1" x14ac:dyDescent="0.4">
      <c r="B9" s="2">
        <v>-120</v>
      </c>
      <c r="C9" s="1">
        <v>1905559.0722000001</v>
      </c>
      <c r="D9" s="1">
        <v>93.411799999999999</v>
      </c>
      <c r="E9" s="1">
        <v>234.71549999999999</v>
      </c>
      <c r="F9" s="1">
        <v>73.608800000000002</v>
      </c>
      <c r="G9" s="4"/>
      <c r="BB9" s="4"/>
      <c r="BC9" s="4"/>
    </row>
    <row r="10" spans="1:55" ht="16" thickBot="1" x14ac:dyDescent="0.4">
      <c r="B10" s="2">
        <v>-90</v>
      </c>
      <c r="C10" s="1">
        <v>1916190.0830000001</v>
      </c>
      <c r="D10" s="1">
        <v>334.80720000000002</v>
      </c>
      <c r="E10" s="1">
        <v>168.71729999999999</v>
      </c>
      <c r="F10" s="1">
        <v>111.53740000000001</v>
      </c>
      <c r="G10" s="4"/>
      <c r="BB10" s="4"/>
      <c r="BC10" s="4"/>
    </row>
    <row r="11" spans="1:55" ht="16" thickBot="1" x14ac:dyDescent="0.4">
      <c r="B11" s="2">
        <v>-60</v>
      </c>
      <c r="C11" s="1">
        <v>1926821.0937000001</v>
      </c>
      <c r="D11" s="1">
        <v>216.2022</v>
      </c>
      <c r="E11" s="1">
        <v>102.721</v>
      </c>
      <c r="F11" s="1">
        <v>149.46600000000001</v>
      </c>
      <c r="G11" s="4"/>
      <c r="BB11" s="4"/>
      <c r="BC11" s="4"/>
    </row>
    <row r="12" spans="1:55" ht="16" thickBot="1" x14ac:dyDescent="0.4">
      <c r="B12" s="2">
        <v>-30</v>
      </c>
      <c r="C12" s="1">
        <v>1937452.1044999999</v>
      </c>
      <c r="D12" s="1">
        <v>97.596999999999994</v>
      </c>
      <c r="E12" s="1">
        <v>36.726500000000001</v>
      </c>
      <c r="F12" s="1">
        <v>187.3946</v>
      </c>
      <c r="G12" s="4"/>
      <c r="BB12" s="4"/>
      <c r="BC12" s="4"/>
    </row>
    <row r="13" spans="1:55" ht="16" thickBot="1" x14ac:dyDescent="0.4">
      <c r="B13" s="2">
        <v>0</v>
      </c>
      <c r="C13" s="1">
        <v>1948083.1152999999</v>
      </c>
      <c r="D13" s="1">
        <v>338.99149999999997</v>
      </c>
      <c r="E13" s="1">
        <v>330.73379999999997</v>
      </c>
      <c r="F13" s="1">
        <v>225.32320000000001</v>
      </c>
      <c r="G13" s="4"/>
      <c r="BB13" s="4"/>
      <c r="BC13" s="4"/>
    </row>
    <row r="14" spans="1:55" ht="16" thickBot="1" x14ac:dyDescent="0.4">
      <c r="B14" s="2">
        <v>30</v>
      </c>
      <c r="C14" s="1">
        <v>1958714.1262000001</v>
      </c>
      <c r="D14" s="1">
        <v>220.38570000000001</v>
      </c>
      <c r="E14" s="1">
        <v>264.74290000000002</v>
      </c>
      <c r="F14" s="1">
        <v>263.25170000000003</v>
      </c>
      <c r="G14" s="4"/>
      <c r="BB14" s="4"/>
      <c r="BC14" s="4"/>
    </row>
    <row r="15" spans="1:55" ht="16" thickBot="1" x14ac:dyDescent="0.4">
      <c r="B15" s="2">
        <v>60</v>
      </c>
      <c r="C15" s="1">
        <v>1969345.1370000001</v>
      </c>
      <c r="D15" s="1">
        <v>101.77970000000001</v>
      </c>
      <c r="E15" s="1">
        <v>198.75389999999999</v>
      </c>
      <c r="F15" s="1">
        <v>301.18029999999999</v>
      </c>
      <c r="G15" s="4"/>
      <c r="BB15" s="4"/>
      <c r="BC15" s="4"/>
    </row>
    <row r="16" spans="1:55" ht="16" thickBot="1" x14ac:dyDescent="0.4">
      <c r="B16" s="2">
        <v>90</v>
      </c>
      <c r="C16" s="1">
        <v>1979976.1479</v>
      </c>
      <c r="D16" s="1">
        <v>343.17340000000002</v>
      </c>
      <c r="E16" s="1">
        <v>132.76669999999999</v>
      </c>
      <c r="F16" s="1">
        <v>339.10890000000001</v>
      </c>
      <c r="G16" s="4"/>
      <c r="BB16" s="4"/>
      <c r="BC16" s="4"/>
    </row>
    <row r="17" spans="2:55" ht="16" thickBot="1" x14ac:dyDescent="0.4">
      <c r="B17" s="2">
        <v>120</v>
      </c>
      <c r="C17" s="1">
        <v>1990607.1588000001</v>
      </c>
      <c r="D17" s="1">
        <v>224.5668</v>
      </c>
      <c r="E17" s="1">
        <v>66.781300000000002</v>
      </c>
      <c r="F17" s="1">
        <v>17.037400000000002</v>
      </c>
      <c r="G17" s="4"/>
      <c r="BB17" s="4"/>
      <c r="BC17" s="4"/>
    </row>
    <row r="18" spans="2:55" ht="16" thickBot="1" x14ac:dyDescent="0.4">
      <c r="B18" s="2">
        <v>150</v>
      </c>
      <c r="C18" s="1">
        <v>2001238.1698</v>
      </c>
      <c r="D18" s="1">
        <v>105.9599</v>
      </c>
      <c r="E18" s="1">
        <v>0.79779999999999995</v>
      </c>
      <c r="F18" s="1">
        <v>54.966000000000001</v>
      </c>
      <c r="G18" s="4"/>
      <c r="BB18" s="4"/>
      <c r="BC18" s="4"/>
    </row>
    <row r="19" spans="2:55" ht="16" thickBot="1" x14ac:dyDescent="0.4">
      <c r="B19" s="2">
        <v>180</v>
      </c>
      <c r="C19" s="1">
        <v>2011869.1806999999</v>
      </c>
      <c r="D19" s="1">
        <v>347.35270000000003</v>
      </c>
      <c r="E19" s="1">
        <v>294.81610000000001</v>
      </c>
      <c r="F19" s="1">
        <v>92.894499999999994</v>
      </c>
      <c r="G19" s="4"/>
      <c r="BB19" s="4"/>
      <c r="BC19" s="4"/>
    </row>
    <row r="20" spans="2:55" ht="16" thickBot="1" x14ac:dyDescent="0.4">
      <c r="B20" s="2">
        <v>210</v>
      </c>
      <c r="C20" s="1">
        <v>2022500.1917000001</v>
      </c>
      <c r="D20" s="1">
        <v>228.74529999999999</v>
      </c>
      <c r="E20" s="1">
        <v>228.83619999999999</v>
      </c>
      <c r="F20" s="1">
        <v>130.82310000000001</v>
      </c>
      <c r="G20" s="4"/>
      <c r="BB20" s="4"/>
      <c r="BC20" s="4"/>
    </row>
    <row r="21" spans="2:55" ht="16" thickBot="1" x14ac:dyDescent="0.4">
      <c r="B21" s="2">
        <v>240</v>
      </c>
      <c r="C21" s="1">
        <v>2033131.2027</v>
      </c>
      <c r="D21" s="1">
        <v>110.13760000000001</v>
      </c>
      <c r="E21" s="1">
        <v>162.85820000000001</v>
      </c>
      <c r="F21" s="1">
        <v>168.7517</v>
      </c>
      <c r="G21" s="4"/>
      <c r="BB21" s="4"/>
      <c r="BC21" s="4"/>
    </row>
    <row r="22" spans="2:55" ht="16" thickBot="1" x14ac:dyDescent="0.4">
      <c r="B22" s="2">
        <v>270</v>
      </c>
      <c r="C22" s="1">
        <v>2043762.2138</v>
      </c>
      <c r="D22" s="1">
        <v>351.52960000000002</v>
      </c>
      <c r="E22" s="1">
        <v>96.882099999999994</v>
      </c>
      <c r="F22" s="1">
        <v>206.68020000000001</v>
      </c>
      <c r="G22" s="4"/>
      <c r="BB22" s="4"/>
      <c r="BC22" s="4"/>
    </row>
    <row r="23" spans="2:55" ht="16" thickBot="1" x14ac:dyDescent="0.4">
      <c r="B23" s="2">
        <v>300</v>
      </c>
      <c r="C23" s="1">
        <v>2054393.2249</v>
      </c>
      <c r="D23" s="1">
        <v>232.92140000000001</v>
      </c>
      <c r="E23" s="1">
        <v>30.907800000000002</v>
      </c>
      <c r="F23" s="1">
        <v>244.6087</v>
      </c>
      <c r="G23" s="4"/>
      <c r="BB23" s="4"/>
      <c r="BC23" s="4"/>
    </row>
    <row r="24" spans="2:55" ht="16" thickBot="1" x14ac:dyDescent="0.4">
      <c r="B24" s="2">
        <v>330</v>
      </c>
      <c r="C24" s="1">
        <v>2065024.2359</v>
      </c>
      <c r="D24" s="1">
        <v>114.3128</v>
      </c>
      <c r="E24" s="1">
        <v>324.93529999999998</v>
      </c>
      <c r="F24" s="1">
        <v>282.53730000000002</v>
      </c>
      <c r="G24" s="4"/>
      <c r="BB24" s="4"/>
      <c r="BC24" s="4"/>
    </row>
    <row r="25" spans="2:55" ht="16" thickBot="1" x14ac:dyDescent="0.4">
      <c r="B25" s="2">
        <v>360</v>
      </c>
      <c r="C25" s="1">
        <v>2075655.2471</v>
      </c>
      <c r="D25" s="1">
        <v>355.70400000000001</v>
      </c>
      <c r="E25" s="1">
        <v>258.96469999999999</v>
      </c>
      <c r="F25" s="1">
        <v>320.4658</v>
      </c>
      <c r="G25" s="4"/>
      <c r="BB25" s="4"/>
      <c r="BC25" s="4"/>
    </row>
    <row r="26" spans="2:55" ht="16" thickBot="1" x14ac:dyDescent="0.4">
      <c r="B26" s="2">
        <v>390</v>
      </c>
      <c r="C26" s="1">
        <v>2086286.2582</v>
      </c>
      <c r="D26" s="1">
        <v>237.0949</v>
      </c>
      <c r="E26" s="1">
        <v>192.99590000000001</v>
      </c>
      <c r="F26" s="1">
        <v>358.39429999999999</v>
      </c>
      <c r="G26" s="4"/>
      <c r="BB26" s="4"/>
      <c r="BC26" s="4"/>
    </row>
    <row r="27" spans="2:55" ht="16" thickBot="1" x14ac:dyDescent="0.4">
      <c r="B27" s="2">
        <v>420</v>
      </c>
      <c r="C27" s="1">
        <v>2096917.2694000001</v>
      </c>
      <c r="D27" s="1">
        <v>118.4855</v>
      </c>
      <c r="E27" s="1">
        <v>127.0291</v>
      </c>
      <c r="F27" s="1">
        <v>36.322899999999997</v>
      </c>
      <c r="G27" s="4"/>
      <c r="BB27" s="4"/>
      <c r="BC27" s="4"/>
    </row>
    <row r="28" spans="2:55" ht="16" thickBot="1" x14ac:dyDescent="0.4">
      <c r="B28" s="2">
        <v>450</v>
      </c>
      <c r="C28" s="1">
        <v>2107548.2806000002</v>
      </c>
      <c r="D28" s="1">
        <v>359.8759</v>
      </c>
      <c r="E28" s="1">
        <v>61.064</v>
      </c>
      <c r="F28" s="1">
        <v>74.251400000000004</v>
      </c>
      <c r="G28" s="4"/>
      <c r="BB28" s="4"/>
      <c r="BC28" s="4"/>
    </row>
    <row r="29" spans="2:55" ht="16" thickBot="1" x14ac:dyDescent="0.4">
      <c r="B29" s="2">
        <v>480</v>
      </c>
      <c r="C29" s="1">
        <v>2118179.2917999998</v>
      </c>
      <c r="D29" s="1">
        <v>241.26589999999999</v>
      </c>
      <c r="E29" s="1">
        <v>355.10090000000002</v>
      </c>
      <c r="F29" s="1">
        <v>112.1799</v>
      </c>
      <c r="G29" s="4"/>
      <c r="BB29" s="4"/>
      <c r="BC29" s="4"/>
    </row>
    <row r="30" spans="2:55" ht="16" thickBot="1" x14ac:dyDescent="0.4">
      <c r="B30" s="2">
        <v>510</v>
      </c>
      <c r="C30" s="1">
        <v>2128810.3029999998</v>
      </c>
      <c r="D30" s="1">
        <v>122.6557</v>
      </c>
      <c r="E30" s="1">
        <v>289.13959999999997</v>
      </c>
      <c r="F30" s="1">
        <v>150.10839999999999</v>
      </c>
      <c r="G30" s="4"/>
      <c r="BB30" s="4"/>
      <c r="BC30" s="4"/>
    </row>
    <row r="31" spans="2:55" ht="16" thickBot="1" x14ac:dyDescent="0.4">
      <c r="B31" s="2">
        <v>540</v>
      </c>
      <c r="C31" s="1">
        <v>2139441.3143000002</v>
      </c>
      <c r="D31" s="1">
        <v>4.0452000000000004</v>
      </c>
      <c r="E31" s="1">
        <v>223.18010000000001</v>
      </c>
      <c r="F31" s="1">
        <v>188.03700000000001</v>
      </c>
      <c r="G31" s="4"/>
      <c r="BB31" s="4"/>
      <c r="BC31" s="4"/>
    </row>
    <row r="32" spans="2:55" ht="16" thickBot="1" x14ac:dyDescent="0.4">
      <c r="B32" s="2">
        <v>570</v>
      </c>
      <c r="C32" s="1">
        <v>2150072.3256000001</v>
      </c>
      <c r="D32" s="1">
        <v>245.43440000000001</v>
      </c>
      <c r="E32" s="1">
        <v>157.2226</v>
      </c>
      <c r="F32" s="1">
        <v>225.96549999999999</v>
      </c>
      <c r="G32" s="4"/>
      <c r="H32" s="4"/>
      <c r="N32" s="4"/>
      <c r="BB32" s="4"/>
      <c r="BC32" s="4"/>
    </row>
    <row r="33" spans="2:80" ht="16" thickBot="1" x14ac:dyDescent="0.4">
      <c r="B33" s="2">
        <v>600</v>
      </c>
      <c r="C33" s="1">
        <v>2160703.3369</v>
      </c>
      <c r="D33" s="1">
        <v>126.8233</v>
      </c>
      <c r="E33" s="1">
        <v>91.266900000000007</v>
      </c>
      <c r="F33" s="1">
        <v>263.89400000000001</v>
      </c>
      <c r="G33" s="4"/>
      <c r="H33" s="4"/>
      <c r="N33" s="4"/>
      <c r="BB33" s="4"/>
      <c r="BC33" s="4"/>
    </row>
    <row r="34" spans="2:80" ht="16" thickBot="1" x14ac:dyDescent="0.4">
      <c r="B34" s="2">
        <v>630</v>
      </c>
      <c r="C34" s="1">
        <v>2171334.3481999999</v>
      </c>
      <c r="D34" s="1">
        <v>8.2119999999999997</v>
      </c>
      <c r="E34" s="1">
        <v>25.313099999999999</v>
      </c>
      <c r="F34" s="1">
        <v>301.82249999999999</v>
      </c>
      <c r="G34" s="4"/>
      <c r="H34" s="4"/>
      <c r="N34" s="4"/>
      <c r="BB34" s="4"/>
      <c r="BC34" s="4"/>
    </row>
    <row r="35" spans="2:80" ht="16" thickBot="1" x14ac:dyDescent="0.4">
      <c r="B35" s="2">
        <v>660</v>
      </c>
      <c r="C35" s="1">
        <v>2181965.3596000001</v>
      </c>
      <c r="D35" s="1">
        <v>249.6003</v>
      </c>
      <c r="E35" s="1">
        <v>319.3612</v>
      </c>
      <c r="F35" s="1">
        <v>339.75099999999998</v>
      </c>
      <c r="G35" s="4"/>
      <c r="H35" s="4"/>
      <c r="N35" s="4"/>
      <c r="BB35" s="4"/>
      <c r="BC35" s="4"/>
    </row>
    <row r="36" spans="2:80" ht="16" thickBot="1" x14ac:dyDescent="0.4">
      <c r="B36" s="2">
        <v>690</v>
      </c>
      <c r="C36" s="1">
        <v>2192596.3709999998</v>
      </c>
      <c r="D36" s="1">
        <v>130.98840000000001</v>
      </c>
      <c r="E36" s="1">
        <v>253.4111</v>
      </c>
      <c r="F36" s="1">
        <v>17.679500000000001</v>
      </c>
      <c r="G36" s="4"/>
      <c r="H36" s="4"/>
      <c r="N36" s="4"/>
      <c r="BB36" s="4"/>
      <c r="BC36" s="4"/>
    </row>
    <row r="37" spans="2:80" ht="16" thickBot="1" x14ac:dyDescent="0.4">
      <c r="B37" s="2">
        <v>720</v>
      </c>
      <c r="C37" s="1">
        <v>2203227.3824</v>
      </c>
      <c r="D37" s="1">
        <v>12.376200000000001</v>
      </c>
      <c r="E37" s="1">
        <v>187.46299999999999</v>
      </c>
      <c r="F37" s="1">
        <v>55.607999999999997</v>
      </c>
      <c r="G37" s="4"/>
      <c r="H37" s="4"/>
      <c r="N37" s="4"/>
      <c r="O37" s="4"/>
      <c r="BB37" s="4"/>
      <c r="BC37" s="4"/>
    </row>
    <row r="38" spans="2:80" ht="16" thickBot="1" x14ac:dyDescent="0.4">
      <c r="B38" s="2">
        <v>750</v>
      </c>
      <c r="C38" s="1">
        <v>2213858.3938000002</v>
      </c>
      <c r="D38" s="1">
        <v>253.7637</v>
      </c>
      <c r="E38" s="1">
        <v>121.5167</v>
      </c>
      <c r="F38" s="1">
        <v>93.536500000000004</v>
      </c>
      <c r="BD38" s="3"/>
      <c r="BE38" s="3"/>
      <c r="BF38" s="3"/>
      <c r="BG38" s="3"/>
      <c r="BH38" s="3"/>
      <c r="BI38" s="3"/>
      <c r="BJ38" s="3"/>
      <c r="BK38" s="3"/>
    </row>
    <row r="39" spans="2:80" ht="16" thickBot="1" x14ac:dyDescent="0.4">
      <c r="B39" s="2">
        <v>780</v>
      </c>
      <c r="C39" s="1">
        <v>2224489.4053000002</v>
      </c>
      <c r="D39" s="1">
        <v>135.15090000000001</v>
      </c>
      <c r="E39" s="1">
        <v>55.572299999999998</v>
      </c>
      <c r="F39" s="1">
        <v>131.465</v>
      </c>
    </row>
    <row r="40" spans="2:80" ht="16" thickBot="1" x14ac:dyDescent="0.4">
      <c r="B40" s="2">
        <v>810</v>
      </c>
      <c r="C40" s="1">
        <v>2235120.4167999998</v>
      </c>
      <c r="D40" s="1">
        <v>16.5379</v>
      </c>
      <c r="E40" s="1">
        <v>349.62979999999999</v>
      </c>
      <c r="F40" s="1">
        <v>169.39349999999999</v>
      </c>
      <c r="BW40">
        <v>6</v>
      </c>
      <c r="BX40">
        <v>5</v>
      </c>
      <c r="BY40">
        <v>4</v>
      </c>
      <c r="BZ40">
        <v>3</v>
      </c>
      <c r="CA40">
        <v>2</v>
      </c>
      <c r="CB40">
        <v>1</v>
      </c>
    </row>
    <row r="41" spans="2:80" ht="16" thickBot="1" x14ac:dyDescent="0.4">
      <c r="B41" s="2">
        <v>840</v>
      </c>
      <c r="C41" s="1">
        <v>2245751.4282999998</v>
      </c>
      <c r="D41" s="1">
        <v>257.92450000000002</v>
      </c>
      <c r="E41" s="1">
        <v>283.68920000000003</v>
      </c>
      <c r="F41" s="1">
        <v>207.3219</v>
      </c>
    </row>
    <row r="42" spans="2:80" ht="16" thickBot="1" x14ac:dyDescent="0.4">
      <c r="B42" s="2">
        <v>870</v>
      </c>
      <c r="C42" s="1">
        <v>2256382.4397999998</v>
      </c>
      <c r="D42" s="1">
        <v>139.3109</v>
      </c>
      <c r="E42" s="1">
        <v>217.75040000000001</v>
      </c>
      <c r="F42" s="1">
        <v>245.25040000000001</v>
      </c>
    </row>
    <row r="43" spans="2:80" ht="16" thickBot="1" x14ac:dyDescent="0.4">
      <c r="B43" s="2">
        <v>900</v>
      </c>
      <c r="C43" s="1">
        <v>2267013.4514000001</v>
      </c>
      <c r="D43" s="1">
        <v>20.696999999999999</v>
      </c>
      <c r="E43" s="1">
        <v>151.81360000000001</v>
      </c>
      <c r="F43" s="1">
        <v>283.1789</v>
      </c>
    </row>
    <row r="44" spans="2:80" ht="16" thickBot="1" x14ac:dyDescent="0.4">
      <c r="B44" s="2">
        <v>930</v>
      </c>
      <c r="C44" s="1">
        <v>2277644.463</v>
      </c>
      <c r="D44" s="1">
        <v>262.08280000000002</v>
      </c>
      <c r="E44" s="1">
        <v>85.878699999999995</v>
      </c>
      <c r="F44" s="1">
        <v>321.10739999999998</v>
      </c>
    </row>
    <row r="45" spans="2:80" ht="16" thickBot="1" x14ac:dyDescent="0.4">
      <c r="B45" s="2">
        <v>960</v>
      </c>
      <c r="C45" s="1">
        <v>2288275.4745999998</v>
      </c>
      <c r="D45" s="1">
        <v>143.4683</v>
      </c>
      <c r="E45" s="1">
        <v>19.945699999999999</v>
      </c>
      <c r="F45" s="1">
        <v>359.03579999999999</v>
      </c>
    </row>
    <row r="46" spans="2:80" ht="16" thickBot="1" x14ac:dyDescent="0.4">
      <c r="B46" s="2">
        <v>990</v>
      </c>
      <c r="C46" s="1">
        <v>2298906.4862000002</v>
      </c>
      <c r="D46" s="1">
        <v>24.8535</v>
      </c>
      <c r="E46" s="1">
        <v>314.0145</v>
      </c>
      <c r="F46" s="1">
        <v>36.964300000000001</v>
      </c>
    </row>
    <row r="47" spans="2:80" ht="16" thickBot="1" x14ac:dyDescent="0.4">
      <c r="B47" s="2">
        <v>1020</v>
      </c>
      <c r="C47" s="1">
        <v>2309537.4978999998</v>
      </c>
      <c r="D47" s="1">
        <v>266.23840000000001</v>
      </c>
      <c r="E47" s="1">
        <v>248.08529999999999</v>
      </c>
      <c r="F47" s="1">
        <v>74.892799999999994</v>
      </c>
    </row>
    <row r="48" spans="2:80" ht="16" thickBot="1" x14ac:dyDescent="0.4">
      <c r="B48" s="2">
        <v>1050</v>
      </c>
      <c r="C48" s="1">
        <v>2320168.5096</v>
      </c>
      <c r="D48" s="1">
        <v>147.62299999999999</v>
      </c>
      <c r="E48" s="1">
        <v>182.15799999999999</v>
      </c>
      <c r="F48" s="1">
        <v>112.8212</v>
      </c>
    </row>
    <row r="49" spans="2:6" ht="16" thickBot="1" x14ac:dyDescent="0.4">
      <c r="B49" s="2">
        <v>1080</v>
      </c>
      <c r="C49" s="1">
        <v>2330799.5213000001</v>
      </c>
      <c r="D49" s="1">
        <v>29.007400000000001</v>
      </c>
      <c r="E49" s="1">
        <v>116.23260000000001</v>
      </c>
      <c r="F49" s="1">
        <v>150.74969999999999</v>
      </c>
    </row>
    <row r="50" spans="2:6" ht="16" thickBot="1" x14ac:dyDescent="0.4">
      <c r="B50" s="2">
        <v>1110</v>
      </c>
      <c r="C50" s="1">
        <v>2341430.5329999998</v>
      </c>
      <c r="D50" s="1">
        <v>270.39139999999998</v>
      </c>
      <c r="E50" s="1">
        <v>50.309100000000001</v>
      </c>
      <c r="F50" s="1">
        <v>188.6781</v>
      </c>
    </row>
    <row r="51" spans="2:6" ht="16" thickBot="1" x14ac:dyDescent="0.4">
      <c r="B51" s="2">
        <v>1140</v>
      </c>
      <c r="C51" s="1">
        <v>2352061.5447999998</v>
      </c>
      <c r="D51" s="1">
        <v>151.77520000000001</v>
      </c>
      <c r="E51" s="1">
        <v>344.38749999999999</v>
      </c>
      <c r="F51" s="1">
        <v>226.60659999999999</v>
      </c>
    </row>
    <row r="52" spans="2:6" ht="16" thickBot="1" x14ac:dyDescent="0.4">
      <c r="B52" s="2">
        <v>1170</v>
      </c>
      <c r="C52" s="1">
        <v>2362692.5565999998</v>
      </c>
      <c r="D52" s="1">
        <v>33.158700000000003</v>
      </c>
      <c r="E52" s="1">
        <v>278.46789999999999</v>
      </c>
      <c r="F52" s="1">
        <v>264.53500000000003</v>
      </c>
    </row>
    <row r="53" spans="2:6" ht="16" thickBot="1" x14ac:dyDescent="0.4">
      <c r="B53" s="2">
        <v>1200</v>
      </c>
      <c r="C53" s="1">
        <v>2373323.5684000002</v>
      </c>
      <c r="D53" s="1">
        <v>2745.4180000000001</v>
      </c>
      <c r="E53" s="1">
        <v>212.55009999999999</v>
      </c>
      <c r="F53" s="1">
        <v>302.46339999999998</v>
      </c>
    </row>
    <row r="54" spans="2:6" ht="16" thickBot="1" x14ac:dyDescent="0.4">
      <c r="B54" s="2">
        <v>1230</v>
      </c>
      <c r="C54" s="1">
        <v>2383954.5802000002</v>
      </c>
      <c r="D54" s="1">
        <v>155.9247</v>
      </c>
      <c r="E54" s="1">
        <v>146.6343</v>
      </c>
      <c r="F54" s="1">
        <v>340.39190000000002</v>
      </c>
    </row>
    <row r="55" spans="2:6" ht="16" thickBot="1" x14ac:dyDescent="0.4">
      <c r="B55" s="2">
        <v>1260</v>
      </c>
      <c r="C55" s="1">
        <v>2394585.5921</v>
      </c>
      <c r="D55" s="1">
        <v>37.307299999999998</v>
      </c>
      <c r="E55" s="1">
        <v>80.720399999999998</v>
      </c>
      <c r="F55" s="1">
        <v>18.3203</v>
      </c>
    </row>
    <row r="56" spans="2:6" ht="16" thickBot="1" x14ac:dyDescent="0.4">
      <c r="B56" s="2">
        <v>1290</v>
      </c>
      <c r="C56" s="1">
        <v>2405216.6039</v>
      </c>
      <c r="D56" s="1">
        <v>278.68959999999998</v>
      </c>
      <c r="E56" s="1">
        <v>14.808400000000001</v>
      </c>
      <c r="F56" s="1">
        <v>56.248699999999999</v>
      </c>
    </row>
    <row r="57" spans="2:6" ht="16" thickBot="1" x14ac:dyDescent="0.4">
      <c r="B57" s="2">
        <v>1320</v>
      </c>
      <c r="C57" s="1">
        <v>2415847.6157999998</v>
      </c>
      <c r="D57" s="1">
        <v>160.07159999999999</v>
      </c>
      <c r="E57" s="1">
        <v>308.89839999999998</v>
      </c>
      <c r="F57" s="1">
        <v>94.177099999999996</v>
      </c>
    </row>
    <row r="58" spans="2:6" ht="16" thickBot="1" x14ac:dyDescent="0.4">
      <c r="B58" s="2">
        <v>1350</v>
      </c>
      <c r="C58" s="1">
        <v>2426478.6277999999</v>
      </c>
      <c r="D58" s="1">
        <v>41.453400000000002</v>
      </c>
      <c r="E58" s="1">
        <v>242.99019999999999</v>
      </c>
      <c r="F58" s="1">
        <v>132.10560000000001</v>
      </c>
    </row>
    <row r="59" spans="2:6" ht="16" thickBot="1" x14ac:dyDescent="0.4">
      <c r="B59" s="2">
        <v>1380</v>
      </c>
      <c r="C59" s="1">
        <v>2437109.6397000002</v>
      </c>
      <c r="D59" s="1">
        <v>282.83479999999997</v>
      </c>
      <c r="E59" s="1">
        <v>177.084</v>
      </c>
      <c r="F59" s="1">
        <v>170.03399999999999</v>
      </c>
    </row>
    <row r="60" spans="2:6" ht="16" thickBot="1" x14ac:dyDescent="0.4">
      <c r="B60" s="2">
        <v>1410</v>
      </c>
      <c r="C60" s="1">
        <v>2447740.6519999998</v>
      </c>
      <c r="D60" s="1">
        <v>164.21619999999999</v>
      </c>
      <c r="E60" s="1">
        <v>111.17910000000001</v>
      </c>
      <c r="F60" s="1">
        <v>207.95869999999999</v>
      </c>
    </row>
    <row r="61" spans="2:6" ht="16" thickBot="1" x14ac:dyDescent="0.4">
      <c r="B61" s="2">
        <v>1440</v>
      </c>
      <c r="C61" s="1">
        <v>2458371.6639</v>
      </c>
      <c r="D61" s="1">
        <v>45.598599999999998</v>
      </c>
      <c r="E61" s="1">
        <v>45.269599999999997</v>
      </c>
      <c r="F61" s="1">
        <v>245.8869</v>
      </c>
    </row>
    <row r="62" spans="2:6" ht="16" thickBot="1" x14ac:dyDescent="0.4">
      <c r="B62" s="2">
        <v>1470</v>
      </c>
      <c r="C62" s="1">
        <v>2469002.6757999999</v>
      </c>
      <c r="D62" s="1">
        <v>286.98090000000002</v>
      </c>
      <c r="E62" s="1">
        <v>339.36009999999999</v>
      </c>
      <c r="F62" s="1">
        <v>283.81509999999997</v>
      </c>
    </row>
    <row r="63" spans="2:6" ht="16" thickBot="1" x14ac:dyDescent="0.4">
      <c r="B63" s="2">
        <v>1500</v>
      </c>
      <c r="C63" s="1">
        <v>2479633.6878</v>
      </c>
      <c r="D63" s="1">
        <v>168.36320000000001</v>
      </c>
      <c r="E63" s="1">
        <v>273.45060000000001</v>
      </c>
      <c r="F63" s="1">
        <v>321.74329999999998</v>
      </c>
    </row>
    <row r="64" spans="2:6" ht="16" thickBot="1" x14ac:dyDescent="0.4">
      <c r="B64" s="2">
        <v>1530</v>
      </c>
      <c r="C64" s="1">
        <v>2490264.6997000002</v>
      </c>
      <c r="D64" s="1">
        <v>49.7455</v>
      </c>
      <c r="E64" s="1">
        <v>207.5411</v>
      </c>
      <c r="F64" s="1">
        <v>359.67149999999998</v>
      </c>
    </row>
    <row r="65" spans="2:26" ht="16" thickBot="1" x14ac:dyDescent="0.4">
      <c r="B65" s="2">
        <v>1560</v>
      </c>
      <c r="C65" s="1">
        <v>2500895.7116</v>
      </c>
      <c r="D65" s="1">
        <v>291.12790000000001</v>
      </c>
      <c r="E65" s="1">
        <v>141.63159999999999</v>
      </c>
      <c r="F65" s="1">
        <v>37.599699999999999</v>
      </c>
    </row>
    <row r="66" spans="2:26" ht="16" thickBot="1" x14ac:dyDescent="0.4">
      <c r="B66" s="2">
        <v>1590</v>
      </c>
      <c r="C66" s="1" t="s">
        <v>1</v>
      </c>
      <c r="D66" s="1">
        <v>172.5102</v>
      </c>
      <c r="E66" s="1">
        <v>75.722099999999998</v>
      </c>
      <c r="F66" s="1">
        <v>75.527799999999999</v>
      </c>
    </row>
    <row r="67" spans="2:26" ht="16" thickBot="1" x14ac:dyDescent="0.4">
      <c r="B67" s="2">
        <v>1620</v>
      </c>
      <c r="C67" s="1">
        <v>2522157.7355</v>
      </c>
      <c r="D67" s="1">
        <v>53.892499999999998</v>
      </c>
      <c r="E67" s="1">
        <v>9.8125999999999998</v>
      </c>
      <c r="F67" s="1">
        <v>113.456</v>
      </c>
    </row>
    <row r="68" spans="2:26" ht="16" thickBot="1" x14ac:dyDescent="0.4">
      <c r="B68" s="2">
        <v>1650</v>
      </c>
      <c r="C68" s="1">
        <v>2532788.7474000002</v>
      </c>
      <c r="D68" s="1">
        <v>295.27480000000003</v>
      </c>
      <c r="E68" s="1">
        <v>303.90309999999999</v>
      </c>
      <c r="F68" s="1">
        <v>151.38419999999999</v>
      </c>
    </row>
    <row r="69" spans="2:26" ht="16" thickBot="1" x14ac:dyDescent="0.4">
      <c r="B69" s="2">
        <v>1680</v>
      </c>
      <c r="C69" s="1">
        <v>2543419.7593</v>
      </c>
      <c r="D69" s="1">
        <v>176.65719999999999</v>
      </c>
      <c r="E69" s="1">
        <v>237.99359999999999</v>
      </c>
      <c r="F69" s="1">
        <v>189.3124</v>
      </c>
    </row>
    <row r="70" spans="2:26" ht="16" thickBot="1" x14ac:dyDescent="0.4">
      <c r="B70" s="2">
        <v>1710</v>
      </c>
      <c r="C70" s="1">
        <v>2554050.7711999998</v>
      </c>
      <c r="D70" s="1">
        <v>58.039499999999997</v>
      </c>
      <c r="E70" s="1">
        <v>172.08410000000001</v>
      </c>
      <c r="F70" s="1">
        <v>227.2406</v>
      </c>
    </row>
    <row r="71" spans="2:26" ht="16" thickBot="1" x14ac:dyDescent="0.4">
      <c r="B71" s="2">
        <v>1740</v>
      </c>
      <c r="C71" s="1">
        <v>2564681.7831999999</v>
      </c>
      <c r="D71" s="1">
        <v>299.42180000000002</v>
      </c>
      <c r="E71" s="1">
        <v>106.1746</v>
      </c>
      <c r="F71" s="1">
        <v>265.16879999999998</v>
      </c>
    </row>
    <row r="72" spans="2:26" ht="16" thickBot="1" x14ac:dyDescent="0.4">
      <c r="B72" s="2">
        <v>1770</v>
      </c>
      <c r="C72" s="1">
        <v>2575312.7951000002</v>
      </c>
      <c r="D72" s="1">
        <v>180.80410000000001</v>
      </c>
      <c r="E72" s="1">
        <v>40.265099999999997</v>
      </c>
      <c r="F72" s="1">
        <v>303.09699999999998</v>
      </c>
    </row>
    <row r="76" spans="2:26" x14ac:dyDescent="0.35">
      <c r="Z76" t="s">
        <v>0</v>
      </c>
    </row>
  </sheetData>
  <mergeCells count="3">
    <mergeCell ref="B1:F2"/>
    <mergeCell ref="B4:B5"/>
    <mergeCell ref="B3:F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DFB-2605-487A-A48E-8BF82B205787}">
  <dimension ref="C6:N39"/>
  <sheetViews>
    <sheetView topLeftCell="C1" workbookViewId="0">
      <selection activeCell="B6" sqref="B6:N39"/>
    </sheetView>
  </sheetViews>
  <sheetFormatPr defaultRowHeight="14.5" x14ac:dyDescent="0.35"/>
  <cols>
    <col min="3" max="3" width="12.54296875" customWidth="1"/>
    <col min="4" max="4" width="19.81640625" customWidth="1"/>
    <col min="5" max="5" width="6.54296875" customWidth="1"/>
    <col min="6" max="6" width="6.453125" customWidth="1"/>
    <col min="7" max="7" width="11.7265625" customWidth="1"/>
    <col min="8" max="8" width="12.54296875" customWidth="1"/>
    <col min="9" max="9" width="12" customWidth="1"/>
    <col min="10" max="10" width="10.54296875" customWidth="1"/>
    <col min="11" max="11" width="11.26953125" customWidth="1"/>
    <col min="12" max="12" width="10.7265625" customWidth="1"/>
    <col min="13" max="14" width="12.81640625" customWidth="1"/>
  </cols>
  <sheetData>
    <row r="6" spans="3:14" ht="15" thickBot="1" x14ac:dyDescent="0.4"/>
    <row r="7" spans="3:14" x14ac:dyDescent="0.35">
      <c r="C7" s="57" t="s">
        <v>94</v>
      </c>
      <c r="D7" s="60" t="s">
        <v>95</v>
      </c>
      <c r="E7" s="53" t="s">
        <v>96</v>
      </c>
      <c r="F7" s="54"/>
      <c r="G7" s="57" t="s">
        <v>97</v>
      </c>
      <c r="H7" s="57" t="s">
        <v>100</v>
      </c>
      <c r="I7" s="57" t="s">
        <v>99</v>
      </c>
      <c r="J7" s="57" t="s">
        <v>100</v>
      </c>
      <c r="K7" s="57" t="s">
        <v>101</v>
      </c>
      <c r="L7" s="57" t="s">
        <v>102</v>
      </c>
      <c r="M7" s="57" t="s">
        <v>103</v>
      </c>
      <c r="N7" s="57" t="s">
        <v>104</v>
      </c>
    </row>
    <row r="8" spans="3:14" ht="15" thickBot="1" x14ac:dyDescent="0.4">
      <c r="C8" s="59"/>
      <c r="D8" s="61"/>
      <c r="E8" s="55"/>
      <c r="F8" s="56"/>
      <c r="G8" s="58"/>
      <c r="H8" s="58"/>
      <c r="I8" s="58"/>
      <c r="J8" s="58"/>
      <c r="K8" s="58"/>
      <c r="L8" s="58"/>
      <c r="M8" s="58"/>
      <c r="N8" s="58"/>
    </row>
    <row r="9" spans="3:14" ht="16" thickBot="1" x14ac:dyDescent="0.4">
      <c r="C9" s="58"/>
      <c r="D9" s="7" t="s">
        <v>105</v>
      </c>
      <c r="E9" s="7" t="s">
        <v>106</v>
      </c>
      <c r="F9" s="7" t="s">
        <v>107</v>
      </c>
      <c r="G9" s="7" t="s">
        <v>108</v>
      </c>
      <c r="H9" s="7" t="s">
        <v>109</v>
      </c>
      <c r="I9" s="7" t="s">
        <v>2</v>
      </c>
      <c r="J9" s="7" t="s">
        <v>5</v>
      </c>
      <c r="K9" s="7" t="s">
        <v>110</v>
      </c>
      <c r="L9" s="7" t="s">
        <v>111</v>
      </c>
      <c r="M9" s="7" t="s">
        <v>112</v>
      </c>
      <c r="N9" s="7" t="s">
        <v>113</v>
      </c>
    </row>
    <row r="10" spans="3:14" ht="16" thickBot="1" x14ac:dyDescent="0.4">
      <c r="C10" s="2">
        <v>1</v>
      </c>
      <c r="D10" s="2">
        <v>1</v>
      </c>
      <c r="E10" s="2">
        <v>1</v>
      </c>
      <c r="F10" s="2"/>
      <c r="G10" s="1">
        <v>0.98560000000000003</v>
      </c>
      <c r="H10" s="1">
        <v>0.98560000000000003</v>
      </c>
      <c r="I10" s="1">
        <v>131764</v>
      </c>
      <c r="J10" s="1">
        <v>130650</v>
      </c>
      <c r="K10" s="1">
        <v>132294</v>
      </c>
      <c r="L10" s="1">
        <v>121907</v>
      </c>
      <c r="M10" s="20">
        <v>0</v>
      </c>
      <c r="N10" s="1" t="s">
        <v>198</v>
      </c>
    </row>
    <row r="11" spans="3:14" ht="17.25" customHeight="1" thickBot="1" x14ac:dyDescent="0.4">
      <c r="C11" s="2">
        <v>2</v>
      </c>
      <c r="D11" s="2">
        <v>2</v>
      </c>
      <c r="E11" s="2">
        <v>2</v>
      </c>
      <c r="F11" s="2">
        <v>2</v>
      </c>
      <c r="G11" s="1">
        <v>1.9713000000000001</v>
      </c>
      <c r="H11" s="1">
        <v>19712</v>
      </c>
      <c r="I11" s="1">
        <v>263528</v>
      </c>
      <c r="J11" s="1">
        <v>261300</v>
      </c>
      <c r="K11" s="1">
        <v>264587</v>
      </c>
      <c r="L11" s="1">
        <v>243815</v>
      </c>
      <c r="M11" s="21" t="s">
        <v>199</v>
      </c>
      <c r="N11" s="1">
        <v>19713</v>
      </c>
    </row>
    <row r="12" spans="3:14" ht="16.5" customHeight="1" thickBot="1" x14ac:dyDescent="0.4">
      <c r="C12" s="2">
        <v>3</v>
      </c>
      <c r="D12" s="2">
        <v>3</v>
      </c>
      <c r="E12" s="2">
        <v>3</v>
      </c>
      <c r="F12" s="2">
        <v>3</v>
      </c>
      <c r="G12" s="1">
        <v>2.9569000000000001</v>
      </c>
      <c r="H12" s="1">
        <v>29568</v>
      </c>
      <c r="I12" s="1">
        <v>395292</v>
      </c>
      <c r="J12" s="1">
        <v>391950</v>
      </c>
      <c r="K12" s="1">
        <v>396881</v>
      </c>
      <c r="L12" s="1">
        <v>365722</v>
      </c>
      <c r="M12" s="21" t="s">
        <v>199</v>
      </c>
      <c r="N12" s="1">
        <v>29569</v>
      </c>
    </row>
    <row r="13" spans="3:14" ht="16.5" customHeight="1" thickBot="1" x14ac:dyDescent="0.4">
      <c r="C13" s="2">
        <v>4</v>
      </c>
      <c r="D13" s="2">
        <v>4</v>
      </c>
      <c r="E13" s="2">
        <v>4</v>
      </c>
      <c r="F13" s="2">
        <v>4</v>
      </c>
      <c r="G13" s="1">
        <v>3.9426000000000001</v>
      </c>
      <c r="H13" s="1">
        <v>39424</v>
      </c>
      <c r="I13" s="1">
        <v>527056</v>
      </c>
      <c r="J13" s="1">
        <v>522600</v>
      </c>
      <c r="K13" s="1">
        <v>529174</v>
      </c>
      <c r="L13" s="1">
        <v>487630</v>
      </c>
      <c r="M13" s="21" t="s">
        <v>199</v>
      </c>
      <c r="N13" s="1">
        <v>39426</v>
      </c>
    </row>
    <row r="14" spans="3:14" ht="15.75" customHeight="1" thickBot="1" x14ac:dyDescent="0.4">
      <c r="C14" s="2">
        <v>5</v>
      </c>
      <c r="D14" s="2">
        <v>5</v>
      </c>
      <c r="E14" s="2">
        <v>5</v>
      </c>
      <c r="F14" s="2">
        <v>5</v>
      </c>
      <c r="G14" s="1">
        <v>4.9282000000000004</v>
      </c>
      <c r="H14" s="1">
        <v>49280</v>
      </c>
      <c r="I14" s="1">
        <v>658820</v>
      </c>
      <c r="J14" s="1">
        <v>653250</v>
      </c>
      <c r="K14" s="1">
        <v>661468</v>
      </c>
      <c r="L14" s="1">
        <v>609537</v>
      </c>
      <c r="M14" s="21" t="s">
        <v>200</v>
      </c>
      <c r="N14" s="1">
        <v>49282</v>
      </c>
    </row>
    <row r="15" spans="3:14" ht="16.5" customHeight="1" thickBot="1" x14ac:dyDescent="0.4">
      <c r="C15" s="2">
        <v>6</v>
      </c>
      <c r="D15" s="2">
        <v>6</v>
      </c>
      <c r="E15" s="2">
        <v>6</v>
      </c>
      <c r="F15" s="2">
        <v>1</v>
      </c>
      <c r="G15" s="1">
        <v>5.9138999999999999</v>
      </c>
      <c r="H15" s="1">
        <v>59136</v>
      </c>
      <c r="I15" s="1">
        <v>790584</v>
      </c>
      <c r="J15" s="1">
        <v>783900</v>
      </c>
      <c r="K15" s="1">
        <v>793761</v>
      </c>
      <c r="L15" s="1">
        <v>731445</v>
      </c>
      <c r="M15" s="21" t="s">
        <v>200</v>
      </c>
      <c r="N15" s="1">
        <v>59139</v>
      </c>
    </row>
    <row r="16" spans="3:14" ht="17.25" customHeight="1" thickBot="1" x14ac:dyDescent="0.4">
      <c r="C16" s="2">
        <v>7</v>
      </c>
      <c r="D16" s="2">
        <v>7</v>
      </c>
      <c r="E16" s="2">
        <v>7</v>
      </c>
      <c r="F16" s="2">
        <v>2</v>
      </c>
      <c r="G16" s="1">
        <v>6.8994999999999997</v>
      </c>
      <c r="H16" s="1">
        <v>68992</v>
      </c>
      <c r="I16" s="1">
        <v>922348</v>
      </c>
      <c r="J16" s="1">
        <v>914550</v>
      </c>
      <c r="K16" s="1">
        <v>926055</v>
      </c>
      <c r="L16" s="1">
        <v>853352</v>
      </c>
      <c r="M16" s="21" t="s">
        <v>200</v>
      </c>
      <c r="N16" s="1">
        <v>68995</v>
      </c>
    </row>
    <row r="17" spans="3:14" ht="15.75" customHeight="1" thickBot="1" x14ac:dyDescent="0.4">
      <c r="C17" s="2">
        <v>8</v>
      </c>
      <c r="D17" s="2">
        <v>8</v>
      </c>
      <c r="E17" s="2">
        <v>1</v>
      </c>
      <c r="F17" s="2">
        <v>3</v>
      </c>
      <c r="G17" s="1">
        <v>7.8852000000000002</v>
      </c>
      <c r="H17" s="1">
        <v>78848</v>
      </c>
      <c r="I17" s="1">
        <v>1054112</v>
      </c>
      <c r="J17" s="1">
        <v>1045199</v>
      </c>
      <c r="K17" s="1">
        <v>1058348</v>
      </c>
      <c r="L17" s="1">
        <v>975260</v>
      </c>
      <c r="M17" s="21" t="s">
        <v>201</v>
      </c>
      <c r="N17" s="1">
        <v>78852</v>
      </c>
    </row>
    <row r="18" spans="3:14" ht="17.25" customHeight="1" thickBot="1" x14ac:dyDescent="0.4">
      <c r="C18" s="2">
        <v>9</v>
      </c>
      <c r="D18" s="2">
        <v>9</v>
      </c>
      <c r="E18" s="2">
        <v>2</v>
      </c>
      <c r="F18" s="2">
        <v>4</v>
      </c>
      <c r="G18" s="1">
        <v>8.8707999999999991</v>
      </c>
      <c r="H18" s="1">
        <v>88704</v>
      </c>
      <c r="I18" s="1">
        <v>1185876</v>
      </c>
      <c r="J18" s="1">
        <v>1175849</v>
      </c>
      <c r="K18" s="1">
        <v>1190642</v>
      </c>
      <c r="L18" s="1">
        <v>1097167</v>
      </c>
      <c r="M18" s="21" t="s">
        <v>201</v>
      </c>
      <c r="N18" s="1">
        <v>88708</v>
      </c>
    </row>
    <row r="19" spans="3:14" ht="15.75" customHeight="1" thickBot="1" x14ac:dyDescent="0.4">
      <c r="C19" s="2">
        <v>10</v>
      </c>
      <c r="D19" s="2">
        <v>10</v>
      </c>
      <c r="E19" s="2">
        <v>3</v>
      </c>
      <c r="F19" s="2">
        <v>5</v>
      </c>
      <c r="G19" s="1" t="s">
        <v>202</v>
      </c>
      <c r="H19" s="1">
        <v>98560</v>
      </c>
      <c r="I19" s="1">
        <v>1317640</v>
      </c>
      <c r="J19" s="1">
        <v>1306499</v>
      </c>
      <c r="K19" s="1">
        <v>1322935</v>
      </c>
      <c r="L19" s="1">
        <v>1219075</v>
      </c>
      <c r="M19" s="21" t="s">
        <v>203</v>
      </c>
      <c r="N19" s="1">
        <v>98565</v>
      </c>
    </row>
    <row r="20" spans="3:14" ht="15.75" customHeight="1" thickBot="1" x14ac:dyDescent="0.4">
      <c r="C20" s="2">
        <v>11</v>
      </c>
      <c r="D20" s="2">
        <v>11</v>
      </c>
      <c r="E20" s="2">
        <v>4</v>
      </c>
      <c r="F20" s="2">
        <v>1</v>
      </c>
      <c r="G20" s="1">
        <v>10.8421</v>
      </c>
      <c r="H20" s="1">
        <v>108416</v>
      </c>
      <c r="I20" s="1">
        <v>1449404</v>
      </c>
      <c r="J20" s="1">
        <v>1437149</v>
      </c>
      <c r="K20" s="1">
        <v>1455229</v>
      </c>
      <c r="L20" s="1">
        <v>1340982</v>
      </c>
      <c r="M20" s="21" t="s">
        <v>203</v>
      </c>
      <c r="N20" s="1">
        <v>108421</v>
      </c>
    </row>
    <row r="21" spans="3:14" ht="16.5" customHeight="1" thickBot="1" x14ac:dyDescent="0.4">
      <c r="C21" s="2">
        <v>12</v>
      </c>
      <c r="D21" s="2">
        <v>12</v>
      </c>
      <c r="E21" s="2">
        <v>5</v>
      </c>
      <c r="F21" s="2">
        <v>2</v>
      </c>
      <c r="G21" s="1">
        <v>11.8278</v>
      </c>
      <c r="H21" s="1">
        <v>118272</v>
      </c>
      <c r="I21" s="1">
        <v>1581168</v>
      </c>
      <c r="J21" s="1">
        <v>1567799</v>
      </c>
      <c r="K21" s="1">
        <v>1587522</v>
      </c>
      <c r="L21" s="1">
        <v>1462890</v>
      </c>
      <c r="M21" s="21" t="s">
        <v>203</v>
      </c>
      <c r="N21" s="1">
        <v>118278</v>
      </c>
    </row>
    <row r="22" spans="3:14" ht="16.5" customHeight="1" thickBot="1" x14ac:dyDescent="0.4">
      <c r="C22" s="2">
        <v>13</v>
      </c>
      <c r="D22" s="2">
        <v>13</v>
      </c>
      <c r="E22" s="2">
        <v>6</v>
      </c>
      <c r="F22" s="2">
        <v>3</v>
      </c>
      <c r="G22" s="1">
        <v>12.8134</v>
      </c>
      <c r="H22" s="1">
        <v>128128</v>
      </c>
      <c r="I22" s="1">
        <v>1712932</v>
      </c>
      <c r="J22" s="1">
        <v>1698449</v>
      </c>
      <c r="K22" s="1">
        <v>1719816</v>
      </c>
      <c r="L22" s="1">
        <v>1584797</v>
      </c>
      <c r="M22" s="21" t="s">
        <v>204</v>
      </c>
      <c r="N22" s="1">
        <v>128134</v>
      </c>
    </row>
    <row r="23" spans="3:14" ht="16.5" customHeight="1" thickBot="1" x14ac:dyDescent="0.4">
      <c r="C23" s="2">
        <v>14</v>
      </c>
      <c r="D23" s="2">
        <v>14</v>
      </c>
      <c r="E23" s="2">
        <v>7</v>
      </c>
      <c r="F23" s="2">
        <v>4</v>
      </c>
      <c r="G23" s="1">
        <v>13.799099999999999</v>
      </c>
      <c r="H23" s="1">
        <v>137984</v>
      </c>
      <c r="I23" s="1">
        <v>1844696</v>
      </c>
      <c r="J23" s="1">
        <v>1829099</v>
      </c>
      <c r="K23" s="1">
        <v>1852109</v>
      </c>
      <c r="L23" s="1">
        <v>1706705</v>
      </c>
      <c r="M23" s="21" t="s">
        <v>204</v>
      </c>
      <c r="N23" s="1">
        <v>137991</v>
      </c>
    </row>
    <row r="24" spans="3:14" ht="18.75" customHeight="1" thickBot="1" x14ac:dyDescent="0.4">
      <c r="C24" s="2">
        <v>15</v>
      </c>
      <c r="D24" s="2">
        <v>15</v>
      </c>
      <c r="E24" s="2">
        <v>1</v>
      </c>
      <c r="F24" s="2">
        <v>5</v>
      </c>
      <c r="G24" s="1">
        <v>14.784700000000001</v>
      </c>
      <c r="H24" s="1">
        <v>147840</v>
      </c>
      <c r="I24" s="1">
        <v>1976459</v>
      </c>
      <c r="J24" s="1">
        <v>1959749</v>
      </c>
      <c r="K24" s="1">
        <v>1984403</v>
      </c>
      <c r="L24" s="1">
        <v>1828612</v>
      </c>
      <c r="M24" s="21" t="s">
        <v>204</v>
      </c>
      <c r="N24" s="1">
        <v>147847</v>
      </c>
    </row>
    <row r="25" spans="3:14" ht="17.25" customHeight="1" thickBot="1" x14ac:dyDescent="0.4">
      <c r="C25" s="2">
        <v>16</v>
      </c>
      <c r="D25" s="2">
        <v>16</v>
      </c>
      <c r="E25" s="2">
        <v>2</v>
      </c>
      <c r="F25" s="2">
        <v>1</v>
      </c>
      <c r="G25" s="1">
        <v>15.7704</v>
      </c>
      <c r="H25" s="1">
        <v>157696</v>
      </c>
      <c r="I25" s="1">
        <v>2108223</v>
      </c>
      <c r="J25" s="1">
        <v>2090399</v>
      </c>
      <c r="K25" s="1">
        <v>2116696</v>
      </c>
      <c r="L25" s="1">
        <v>1950520</v>
      </c>
      <c r="M25" s="21" t="s">
        <v>205</v>
      </c>
      <c r="N25" s="1">
        <v>157704</v>
      </c>
    </row>
    <row r="26" spans="3:14" ht="15.75" customHeight="1" thickBot="1" x14ac:dyDescent="0.4">
      <c r="C26" s="2">
        <v>17</v>
      </c>
      <c r="D26" s="2">
        <v>17</v>
      </c>
      <c r="E26" s="2">
        <v>3</v>
      </c>
      <c r="F26" s="2">
        <v>2</v>
      </c>
      <c r="G26" s="1">
        <v>16.756</v>
      </c>
      <c r="H26" s="1">
        <v>167552</v>
      </c>
      <c r="I26" s="1">
        <v>2239987</v>
      </c>
      <c r="J26" s="1">
        <v>2221049</v>
      </c>
      <c r="K26" s="1">
        <v>2248990</v>
      </c>
      <c r="L26" s="1">
        <v>2072427</v>
      </c>
      <c r="M26" s="21" t="s">
        <v>205</v>
      </c>
      <c r="N26" s="1">
        <v>167560</v>
      </c>
    </row>
    <row r="27" spans="3:14" ht="16.5" customHeight="1" thickBot="1" x14ac:dyDescent="0.4">
      <c r="C27" s="2">
        <v>18</v>
      </c>
      <c r="D27" s="2">
        <v>18</v>
      </c>
      <c r="E27" s="2">
        <v>4</v>
      </c>
      <c r="F27" s="2">
        <v>3</v>
      </c>
      <c r="G27" s="1">
        <v>17.741700000000002</v>
      </c>
      <c r="H27" s="1">
        <v>177408</v>
      </c>
      <c r="I27" s="1">
        <v>2371751</v>
      </c>
      <c r="J27" s="1">
        <v>2351699</v>
      </c>
      <c r="K27" s="1">
        <v>2381283</v>
      </c>
      <c r="L27" s="1">
        <v>2194335</v>
      </c>
      <c r="M27" s="21" t="s">
        <v>205</v>
      </c>
      <c r="N27" s="1">
        <v>177417</v>
      </c>
    </row>
    <row r="28" spans="3:14" ht="18" customHeight="1" thickBot="1" x14ac:dyDescent="0.4">
      <c r="C28" s="2">
        <v>19</v>
      </c>
      <c r="D28" s="2">
        <v>19</v>
      </c>
      <c r="E28" s="2">
        <v>5</v>
      </c>
      <c r="F28" s="2">
        <v>4</v>
      </c>
      <c r="G28" s="1">
        <v>18.7273</v>
      </c>
      <c r="H28" s="1">
        <v>187264</v>
      </c>
      <c r="I28" s="1">
        <v>2503515</v>
      </c>
      <c r="J28" s="1">
        <v>2482349</v>
      </c>
      <c r="K28" s="1">
        <v>2513577</v>
      </c>
      <c r="L28" s="1">
        <v>2316242</v>
      </c>
      <c r="M28" s="21" t="s">
        <v>206</v>
      </c>
      <c r="N28" s="1">
        <v>187273</v>
      </c>
    </row>
    <row r="29" spans="3:14" ht="16.5" customHeight="1" thickBot="1" x14ac:dyDescent="0.4">
      <c r="C29" s="2">
        <v>20</v>
      </c>
      <c r="D29" s="2">
        <v>20</v>
      </c>
      <c r="E29" s="2">
        <v>6</v>
      </c>
      <c r="F29" s="2">
        <v>5</v>
      </c>
      <c r="G29" s="1">
        <v>19.712900000000001</v>
      </c>
      <c r="H29" s="1">
        <v>197120</v>
      </c>
      <c r="I29" s="1">
        <v>2635279</v>
      </c>
      <c r="J29" s="1">
        <v>2612999</v>
      </c>
      <c r="K29" s="1">
        <v>2645870</v>
      </c>
      <c r="L29" s="1">
        <v>2438150</v>
      </c>
      <c r="M29" s="21" t="s">
        <v>206</v>
      </c>
      <c r="N29" s="1">
        <v>197129</v>
      </c>
    </row>
    <row r="30" spans="3:14" ht="15.75" customHeight="1" thickBot="1" x14ac:dyDescent="0.4">
      <c r="C30" s="2">
        <v>21</v>
      </c>
      <c r="D30" s="2">
        <v>21</v>
      </c>
      <c r="E30" s="2">
        <v>7</v>
      </c>
      <c r="F30" s="2">
        <v>1</v>
      </c>
      <c r="G30" s="1">
        <v>20.698599999999999</v>
      </c>
      <c r="H30" s="1">
        <v>206976</v>
      </c>
      <c r="I30" s="1">
        <v>2767043</v>
      </c>
      <c r="J30" s="1">
        <v>2743649</v>
      </c>
      <c r="K30" s="1">
        <v>2778164</v>
      </c>
      <c r="L30" s="1">
        <v>2560057</v>
      </c>
      <c r="M30" s="21" t="s">
        <v>206</v>
      </c>
      <c r="N30" s="1">
        <v>206986</v>
      </c>
    </row>
    <row r="31" spans="3:14" ht="16.5" customHeight="1" thickBot="1" x14ac:dyDescent="0.4">
      <c r="C31" s="2">
        <v>22</v>
      </c>
      <c r="D31" s="2">
        <v>22</v>
      </c>
      <c r="E31" s="2">
        <v>1</v>
      </c>
      <c r="F31" s="2">
        <v>2</v>
      </c>
      <c r="G31" s="1">
        <v>21.684200000000001</v>
      </c>
      <c r="H31" s="1">
        <v>216832</v>
      </c>
      <c r="I31" s="1">
        <v>2898807</v>
      </c>
      <c r="J31" s="1">
        <v>2874298</v>
      </c>
      <c r="K31" s="1">
        <v>2910457</v>
      </c>
      <c r="L31" s="1">
        <v>2681965</v>
      </c>
      <c r="M31" s="21" t="s">
        <v>207</v>
      </c>
      <c r="N31" s="1">
        <v>216842</v>
      </c>
    </row>
    <row r="32" spans="3:14" ht="16.5" customHeight="1" thickBot="1" x14ac:dyDescent="0.4">
      <c r="C32" s="2">
        <v>23</v>
      </c>
      <c r="D32" s="2">
        <v>23</v>
      </c>
      <c r="E32" s="2">
        <v>2</v>
      </c>
      <c r="F32" s="2">
        <v>3</v>
      </c>
      <c r="G32" s="1" t="s">
        <v>208</v>
      </c>
      <c r="H32" s="1">
        <v>226688</v>
      </c>
      <c r="I32" s="1">
        <v>3030571</v>
      </c>
      <c r="J32" s="1">
        <v>3004948</v>
      </c>
      <c r="K32" s="1">
        <v>3042751</v>
      </c>
      <c r="L32" s="1">
        <v>2803872</v>
      </c>
      <c r="M32" s="21" t="s">
        <v>207</v>
      </c>
      <c r="N32" s="1">
        <v>226699</v>
      </c>
    </row>
    <row r="33" spans="3:14" ht="15.75" customHeight="1" thickBot="1" x14ac:dyDescent="0.4">
      <c r="C33" s="2">
        <v>24</v>
      </c>
      <c r="D33" s="2">
        <v>24</v>
      </c>
      <c r="E33" s="2">
        <v>3</v>
      </c>
      <c r="F33" s="2">
        <v>4</v>
      </c>
      <c r="G33" s="1">
        <v>23.6555</v>
      </c>
      <c r="H33" s="1">
        <v>236544</v>
      </c>
      <c r="I33" s="1">
        <v>3162335</v>
      </c>
      <c r="J33" s="1">
        <v>3135598</v>
      </c>
      <c r="K33" s="1">
        <v>3175044</v>
      </c>
      <c r="L33" s="1">
        <v>2925780</v>
      </c>
      <c r="M33" s="21" t="s">
        <v>209</v>
      </c>
      <c r="N33" s="1">
        <v>236555</v>
      </c>
    </row>
    <row r="34" spans="3:14" ht="17.25" customHeight="1" thickBot="1" x14ac:dyDescent="0.4">
      <c r="C34" s="2">
        <v>25</v>
      </c>
      <c r="D34" s="2">
        <v>25</v>
      </c>
      <c r="E34" s="2">
        <v>4</v>
      </c>
      <c r="F34" s="2">
        <v>5</v>
      </c>
      <c r="G34" s="1">
        <v>24.641200000000001</v>
      </c>
      <c r="H34" s="1">
        <v>246400</v>
      </c>
      <c r="I34" s="1">
        <v>3294099</v>
      </c>
      <c r="J34" s="1">
        <v>3266248</v>
      </c>
      <c r="K34" s="1">
        <v>3307338</v>
      </c>
      <c r="L34" s="1">
        <v>3047687</v>
      </c>
      <c r="M34" s="21" t="s">
        <v>209</v>
      </c>
      <c r="N34" s="1">
        <v>246412</v>
      </c>
    </row>
    <row r="35" spans="3:14" ht="18" customHeight="1" thickBot="1" x14ac:dyDescent="0.4">
      <c r="C35" s="2">
        <v>26</v>
      </c>
      <c r="D35" s="2">
        <v>26</v>
      </c>
      <c r="E35" s="2">
        <v>5</v>
      </c>
      <c r="F35" s="2">
        <v>1</v>
      </c>
      <c r="G35" s="1">
        <v>25.626799999999999</v>
      </c>
      <c r="H35" s="1">
        <v>256256</v>
      </c>
      <c r="I35" s="1">
        <v>3425863</v>
      </c>
      <c r="J35" s="1">
        <v>3396898</v>
      </c>
      <c r="K35" s="1">
        <v>3439631</v>
      </c>
      <c r="L35" s="1">
        <v>3169595</v>
      </c>
      <c r="M35" s="21" t="s">
        <v>209</v>
      </c>
      <c r="N35" s="1">
        <v>256268</v>
      </c>
    </row>
    <row r="36" spans="3:14" ht="17.25" customHeight="1" thickBot="1" x14ac:dyDescent="0.4">
      <c r="C36" s="2">
        <v>27</v>
      </c>
      <c r="D36" s="2">
        <v>27</v>
      </c>
      <c r="E36" s="2">
        <v>6</v>
      </c>
      <c r="F36" s="2">
        <v>2</v>
      </c>
      <c r="G36" s="1">
        <v>26.612500000000001</v>
      </c>
      <c r="H36" s="1">
        <v>266112</v>
      </c>
      <c r="I36" s="1">
        <v>3557627</v>
      </c>
      <c r="J36" s="1">
        <v>3527548</v>
      </c>
      <c r="K36" s="1">
        <v>3571925</v>
      </c>
      <c r="L36" s="1">
        <v>3291502</v>
      </c>
      <c r="M36" s="21" t="s">
        <v>210</v>
      </c>
      <c r="N36" s="1">
        <v>266125</v>
      </c>
    </row>
    <row r="37" spans="3:14" ht="16.5" customHeight="1" thickBot="1" x14ac:dyDescent="0.4">
      <c r="C37" s="2">
        <v>28</v>
      </c>
      <c r="D37" s="2">
        <v>28</v>
      </c>
      <c r="E37" s="2">
        <v>7</v>
      </c>
      <c r="F37" s="2">
        <v>3</v>
      </c>
      <c r="G37" s="1">
        <v>27.598099999999999</v>
      </c>
      <c r="H37" s="1">
        <v>275968</v>
      </c>
      <c r="I37" s="1">
        <v>89391</v>
      </c>
      <c r="J37" s="1">
        <v>58198</v>
      </c>
      <c r="K37" s="1">
        <v>104218</v>
      </c>
      <c r="L37" s="1">
        <v>3413410</v>
      </c>
      <c r="M37" s="21" t="s">
        <v>210</v>
      </c>
      <c r="N37" s="1">
        <v>275981</v>
      </c>
    </row>
    <row r="38" spans="3:14" ht="17.25" customHeight="1" thickBot="1" x14ac:dyDescent="0.4">
      <c r="C38" s="2">
        <v>29</v>
      </c>
      <c r="D38" s="2">
        <v>29</v>
      </c>
      <c r="E38" s="2">
        <v>1</v>
      </c>
      <c r="F38" s="2">
        <v>4</v>
      </c>
      <c r="G38" s="1">
        <v>28.5838</v>
      </c>
      <c r="H38" s="1">
        <v>285824</v>
      </c>
      <c r="I38" s="1">
        <v>221155</v>
      </c>
      <c r="J38" s="1">
        <v>188848</v>
      </c>
      <c r="K38" s="1">
        <v>236512</v>
      </c>
      <c r="L38" s="1">
        <v>3535317</v>
      </c>
      <c r="M38" s="21" t="s">
        <v>210</v>
      </c>
      <c r="N38" s="1">
        <v>285838</v>
      </c>
    </row>
    <row r="39" spans="3:14" ht="18.75" customHeight="1" thickBot="1" x14ac:dyDescent="0.4">
      <c r="C39" s="2">
        <v>30</v>
      </c>
      <c r="D39" s="2">
        <v>30</v>
      </c>
      <c r="E39" s="2">
        <v>2</v>
      </c>
      <c r="F39" s="2">
        <v>5</v>
      </c>
      <c r="G39" s="1">
        <v>29.569400000000002</v>
      </c>
      <c r="H39" s="1">
        <v>295680</v>
      </c>
      <c r="I39" s="1">
        <v>352919</v>
      </c>
      <c r="J39" s="1">
        <v>319498</v>
      </c>
      <c r="K39" s="1">
        <v>368805</v>
      </c>
      <c r="L39" s="1">
        <v>57225</v>
      </c>
      <c r="M39" s="21" t="s">
        <v>211</v>
      </c>
      <c r="N39" s="1">
        <v>295694</v>
      </c>
    </row>
  </sheetData>
  <mergeCells count="11">
    <mergeCell ref="E7:F8"/>
    <mergeCell ref="N7:N8"/>
    <mergeCell ref="C7:C9"/>
    <mergeCell ref="D7:D8"/>
    <mergeCell ref="G7:G8"/>
    <mergeCell ref="H7:H8"/>
    <mergeCell ref="I7:I8"/>
    <mergeCell ref="J7:J8"/>
    <mergeCell ref="K7:K8"/>
    <mergeCell ref="L7:L8"/>
    <mergeCell ref="M7:M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B82D-538E-4EC3-9EF5-C536ABD189B1}">
  <dimension ref="C3:J31"/>
  <sheetViews>
    <sheetView topLeftCell="B16" workbookViewId="0">
      <selection activeCell="C28" sqref="C28"/>
    </sheetView>
  </sheetViews>
  <sheetFormatPr defaultRowHeight="14.5" x14ac:dyDescent="0.35"/>
  <cols>
    <col min="3" max="3" width="11" customWidth="1"/>
    <col min="4" max="4" width="11.54296875" customWidth="1"/>
    <col min="5" max="5" width="11" customWidth="1"/>
    <col min="6" max="6" width="11.1796875" customWidth="1"/>
    <col min="7" max="8" width="10.453125" customWidth="1"/>
    <col min="9" max="9" width="10.7265625" customWidth="1"/>
    <col min="10" max="10" width="12.26953125" customWidth="1"/>
  </cols>
  <sheetData>
    <row r="3" spans="3:10" ht="15" thickBot="1" x14ac:dyDescent="0.4"/>
    <row r="4" spans="3:10" x14ac:dyDescent="0.35">
      <c r="C4" s="64"/>
      <c r="D4" s="66" t="s">
        <v>97</v>
      </c>
      <c r="E4" s="66" t="s">
        <v>100</v>
      </c>
      <c r="F4" s="66" t="s">
        <v>99</v>
      </c>
      <c r="G4" s="66" t="s">
        <v>212</v>
      </c>
      <c r="H4" s="66" t="s">
        <v>8</v>
      </c>
      <c r="I4" s="62" t="s">
        <v>102</v>
      </c>
      <c r="J4" s="62" t="s">
        <v>104</v>
      </c>
    </row>
    <row r="5" spans="3:10" ht="15" thickBot="1" x14ac:dyDescent="0.4">
      <c r="C5" s="65"/>
      <c r="D5" s="67"/>
      <c r="E5" s="67"/>
      <c r="F5" s="67"/>
      <c r="G5" s="67"/>
      <c r="H5" s="67"/>
      <c r="I5" s="63"/>
      <c r="J5" s="63"/>
    </row>
    <row r="6" spans="3:10" ht="15.5" thickBot="1" x14ac:dyDescent="0.4">
      <c r="C6" s="39"/>
      <c r="D6" s="22" t="s">
        <v>108</v>
      </c>
      <c r="E6" s="22" t="s">
        <v>109</v>
      </c>
      <c r="F6" s="22" t="s">
        <v>2</v>
      </c>
      <c r="G6" s="22" t="s">
        <v>5</v>
      </c>
      <c r="H6" s="22" t="s">
        <v>110</v>
      </c>
      <c r="I6" s="22" t="s">
        <v>111</v>
      </c>
      <c r="J6" s="22" t="s">
        <v>113</v>
      </c>
    </row>
    <row r="7" spans="3:10" ht="16" thickBot="1" x14ac:dyDescent="0.4">
      <c r="C7" s="5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3:10" ht="16" thickBot="1" x14ac:dyDescent="0.4">
      <c r="C8" s="2">
        <v>1</v>
      </c>
      <c r="D8" s="5">
        <v>4.1099999999999998E-2</v>
      </c>
      <c r="E8" s="5">
        <v>4.1099999999999998E-2</v>
      </c>
      <c r="F8" s="9">
        <v>0.54900000000000004</v>
      </c>
      <c r="G8" s="5">
        <v>0.5444</v>
      </c>
      <c r="H8" s="5">
        <v>0.55120000000000002</v>
      </c>
      <c r="I8" s="5">
        <v>0.50790000000000002</v>
      </c>
      <c r="J8" s="5">
        <v>15.0411</v>
      </c>
    </row>
    <row r="9" spans="3:10" ht="16" thickBot="1" x14ac:dyDescent="0.4">
      <c r="C9" s="5">
        <v>2</v>
      </c>
      <c r="D9" s="5">
        <v>8.2100000000000006E-2</v>
      </c>
      <c r="E9" s="5">
        <v>8.2100000000000006E-2</v>
      </c>
      <c r="F9" s="9">
        <v>1.0980000000000001</v>
      </c>
      <c r="G9" s="5">
        <v>1.0887</v>
      </c>
      <c r="H9" s="5">
        <v>1.1024</v>
      </c>
      <c r="I9" s="5">
        <v>1.0159</v>
      </c>
      <c r="J9" s="5">
        <v>30.082100000000001</v>
      </c>
    </row>
    <row r="10" spans="3:10" ht="16" thickBot="1" x14ac:dyDescent="0.4">
      <c r="C10" s="5">
        <v>3</v>
      </c>
      <c r="D10" s="5">
        <v>0.1232</v>
      </c>
      <c r="E10" s="5">
        <v>0.1232</v>
      </c>
      <c r="F10" s="9">
        <v>1.647</v>
      </c>
      <c r="G10" s="5">
        <v>1.6331</v>
      </c>
      <c r="H10" s="5">
        <v>1.6536999999999999</v>
      </c>
      <c r="I10" s="5">
        <v>1.5238</v>
      </c>
      <c r="J10" s="5">
        <v>45.123199999999997</v>
      </c>
    </row>
    <row r="11" spans="3:10" ht="16" thickBot="1" x14ac:dyDescent="0.4">
      <c r="C11" s="5">
        <v>4</v>
      </c>
      <c r="D11" s="5">
        <v>0.1643</v>
      </c>
      <c r="E11" s="5">
        <v>0.1643</v>
      </c>
      <c r="F11" s="5">
        <v>2.1960999999999999</v>
      </c>
      <c r="G11" s="5">
        <v>2.1775000000000002</v>
      </c>
      <c r="H11" s="5">
        <v>2.2048999999999999</v>
      </c>
      <c r="I11" s="5">
        <v>2.0318000000000001</v>
      </c>
      <c r="J11" s="5">
        <v>60.164299999999997</v>
      </c>
    </row>
    <row r="12" spans="3:10" ht="16" thickBot="1" x14ac:dyDescent="0.4">
      <c r="C12" s="5">
        <v>5</v>
      </c>
      <c r="D12" s="5">
        <v>0.20530000000000001</v>
      </c>
      <c r="E12" s="5">
        <v>0.20530000000000001</v>
      </c>
      <c r="F12" s="5">
        <v>2.7450999999999999</v>
      </c>
      <c r="G12" s="5">
        <v>2.7219000000000002</v>
      </c>
      <c r="H12" s="5">
        <v>2.7561</v>
      </c>
      <c r="I12" s="5">
        <v>2.5396999999999998</v>
      </c>
      <c r="J12" s="5">
        <v>75.205299999999994</v>
      </c>
    </row>
    <row r="13" spans="3:10" ht="16" thickBot="1" x14ac:dyDescent="0.4">
      <c r="C13" s="5">
        <v>6</v>
      </c>
      <c r="D13" s="5">
        <v>0.24640000000000001</v>
      </c>
      <c r="E13" s="5">
        <v>0.24640000000000001</v>
      </c>
      <c r="F13" s="5">
        <v>3.2940999999999998</v>
      </c>
      <c r="G13" s="5">
        <v>3.2662</v>
      </c>
      <c r="H13" s="5">
        <v>3.3073000000000001</v>
      </c>
      <c r="I13" s="5">
        <v>3.0476999999999999</v>
      </c>
      <c r="J13" s="5">
        <v>90.246399999999994</v>
      </c>
    </row>
    <row r="14" spans="3:10" ht="16" thickBot="1" x14ac:dyDescent="0.4">
      <c r="C14" s="5">
        <v>7</v>
      </c>
      <c r="D14" s="5">
        <v>0.28749999999999998</v>
      </c>
      <c r="E14" s="5">
        <v>0.28749999999999998</v>
      </c>
      <c r="F14" s="5">
        <v>3.8431000000000002</v>
      </c>
      <c r="G14" s="5">
        <v>3.8106</v>
      </c>
      <c r="H14" s="5">
        <v>3.8586</v>
      </c>
      <c r="I14" s="5">
        <v>3.5556000000000001</v>
      </c>
      <c r="J14" s="5">
        <v>105.28749999999999</v>
      </c>
    </row>
    <row r="15" spans="3:10" ht="16" thickBot="1" x14ac:dyDescent="0.4">
      <c r="C15" s="5">
        <v>8</v>
      </c>
      <c r="D15" s="5">
        <v>0.32850000000000001</v>
      </c>
      <c r="E15" s="5">
        <v>0.32850000000000001</v>
      </c>
      <c r="F15" s="5">
        <v>4.3921000000000001</v>
      </c>
      <c r="G15" s="9">
        <v>4.3550000000000004</v>
      </c>
      <c r="H15" s="5">
        <v>4.4097999999999997</v>
      </c>
      <c r="I15" s="5">
        <v>4.0636000000000001</v>
      </c>
      <c r="J15" s="5">
        <v>120.32850000000001</v>
      </c>
    </row>
    <row r="16" spans="3:10" ht="16" thickBot="1" x14ac:dyDescent="0.4">
      <c r="C16" s="5">
        <v>9</v>
      </c>
      <c r="D16" s="5">
        <v>0.36959999999999998</v>
      </c>
      <c r="E16" s="5">
        <v>0.36959999999999998</v>
      </c>
      <c r="F16" s="5">
        <v>4.9410999999999996</v>
      </c>
      <c r="G16" s="5">
        <v>4.8994</v>
      </c>
      <c r="H16" s="9">
        <v>4.9610000000000003</v>
      </c>
      <c r="I16" s="5">
        <v>4.5715000000000003</v>
      </c>
      <c r="J16" s="5">
        <v>135.36959999999999</v>
      </c>
    </row>
    <row r="17" spans="3:10" ht="16" thickBot="1" x14ac:dyDescent="0.4">
      <c r="C17" s="5">
        <v>10</v>
      </c>
      <c r="D17" s="5">
        <v>0.41070000000000001</v>
      </c>
      <c r="E17" s="5">
        <v>0.41070000000000001</v>
      </c>
      <c r="F17" s="5">
        <v>5.4901999999999997</v>
      </c>
      <c r="G17" s="5">
        <v>5.4436999999999998</v>
      </c>
      <c r="H17" s="5">
        <v>5.5122</v>
      </c>
      <c r="I17" s="5">
        <v>5.0795000000000003</v>
      </c>
      <c r="J17" s="5">
        <v>150.41069999999999</v>
      </c>
    </row>
    <row r="18" spans="3:10" ht="16" thickBot="1" x14ac:dyDescent="0.4">
      <c r="C18" s="5">
        <v>11</v>
      </c>
      <c r="D18" s="5">
        <v>0.45179999999999998</v>
      </c>
      <c r="E18" s="5">
        <v>0.45169999999999999</v>
      </c>
      <c r="F18" s="5">
        <v>6.0392000000000001</v>
      </c>
      <c r="G18" s="5">
        <v>5.9881000000000002</v>
      </c>
      <c r="H18" s="5">
        <v>6.0635000000000003</v>
      </c>
      <c r="I18" s="5">
        <v>5.5873999999999997</v>
      </c>
      <c r="J18" s="5">
        <v>165.45179999999999</v>
      </c>
    </row>
    <row r="19" spans="3:10" ht="16" thickBot="1" x14ac:dyDescent="0.4">
      <c r="C19" s="5">
        <v>12</v>
      </c>
      <c r="D19" s="5">
        <v>0.49280000000000002</v>
      </c>
      <c r="E19" s="5">
        <v>0.49280000000000002</v>
      </c>
      <c r="F19" s="5">
        <v>6.5881999999999996</v>
      </c>
      <c r="G19" s="5">
        <v>6.5324999999999998</v>
      </c>
      <c r="H19" s="5">
        <v>6.6147</v>
      </c>
      <c r="I19" s="5">
        <v>6.0953999999999997</v>
      </c>
      <c r="J19" s="5">
        <v>180.49279999999999</v>
      </c>
    </row>
    <row r="20" spans="3:10" ht="16" thickBot="1" x14ac:dyDescent="0.4">
      <c r="C20" s="5">
        <v>13</v>
      </c>
      <c r="D20" s="5">
        <v>0.53390000000000004</v>
      </c>
      <c r="E20" s="5">
        <v>0.53390000000000004</v>
      </c>
      <c r="F20" s="5">
        <v>7.1372</v>
      </c>
      <c r="G20" s="5">
        <v>7.0769000000000002</v>
      </c>
      <c r="H20" s="5">
        <v>7.1658999999999997</v>
      </c>
      <c r="I20" s="5">
        <v>6.6032999999999999</v>
      </c>
      <c r="J20" s="5">
        <v>195.53389999999999</v>
      </c>
    </row>
    <row r="21" spans="3:10" ht="16" thickBot="1" x14ac:dyDescent="0.4">
      <c r="C21" s="5">
        <v>14</v>
      </c>
      <c r="D21" s="9">
        <v>0.57499999999999996</v>
      </c>
      <c r="E21" s="5">
        <v>0.57489999999999997</v>
      </c>
      <c r="F21" s="5">
        <v>7.6862000000000004</v>
      </c>
      <c r="G21" s="5">
        <v>7.6212</v>
      </c>
      <c r="H21" s="5">
        <v>7.7171000000000003</v>
      </c>
      <c r="I21" s="5">
        <v>7.1113</v>
      </c>
      <c r="J21" s="9">
        <v>210.57499999999999</v>
      </c>
    </row>
    <row r="22" spans="3:10" ht="16" thickBot="1" x14ac:dyDescent="0.4">
      <c r="C22" s="2">
        <v>15</v>
      </c>
      <c r="D22" s="9">
        <v>0.61599999999999999</v>
      </c>
      <c r="E22" s="9">
        <v>0.61599999999999999</v>
      </c>
      <c r="F22" s="5">
        <v>8.2352000000000007</v>
      </c>
      <c r="G22" s="5">
        <v>8.1655999999999995</v>
      </c>
      <c r="H22" s="5">
        <v>8.2683</v>
      </c>
      <c r="I22" s="5">
        <v>7.6192000000000002</v>
      </c>
      <c r="J22" s="9">
        <v>225.61600000000001</v>
      </c>
    </row>
    <row r="23" spans="3:10" ht="16" thickBot="1" x14ac:dyDescent="0.4">
      <c r="C23" s="2">
        <v>16</v>
      </c>
      <c r="D23" s="5">
        <v>0.65710000000000002</v>
      </c>
      <c r="E23" s="5">
        <v>0.65710000000000002</v>
      </c>
      <c r="F23" s="5">
        <v>8.7843</v>
      </c>
      <c r="G23" s="9">
        <v>8.7100000000000009</v>
      </c>
      <c r="H23" s="5">
        <v>8.8195999999999994</v>
      </c>
      <c r="I23" s="5">
        <v>8.1272000000000002</v>
      </c>
      <c r="J23" s="5">
        <v>240.65710000000001</v>
      </c>
    </row>
    <row r="24" spans="3:10" ht="16" thickBot="1" x14ac:dyDescent="0.4">
      <c r="C24" s="2">
        <v>17</v>
      </c>
      <c r="D24" s="5">
        <v>0.69820000000000004</v>
      </c>
      <c r="E24" s="5">
        <v>0.69810000000000005</v>
      </c>
      <c r="F24" s="5">
        <v>9.3332999999999995</v>
      </c>
      <c r="G24" s="5">
        <v>9.2544000000000004</v>
      </c>
      <c r="H24" s="5">
        <v>9.3707999999999991</v>
      </c>
      <c r="I24" s="5">
        <v>8.6350999999999996</v>
      </c>
      <c r="J24" s="5">
        <v>255.69820000000001</v>
      </c>
    </row>
    <row r="25" spans="3:10" ht="16" thickBot="1" x14ac:dyDescent="0.4">
      <c r="C25" s="2">
        <v>18</v>
      </c>
      <c r="D25" s="5">
        <v>0.73919999999999997</v>
      </c>
      <c r="E25" s="5">
        <v>0.73919999999999997</v>
      </c>
      <c r="F25" s="5">
        <v>9.8823000000000008</v>
      </c>
      <c r="G25" s="5">
        <v>9.7987000000000002</v>
      </c>
      <c r="H25" s="5">
        <v>9.9220000000000006</v>
      </c>
      <c r="I25" s="5">
        <v>9.1431000000000004</v>
      </c>
      <c r="J25" s="5">
        <v>270.73919999999998</v>
      </c>
    </row>
    <row r="26" spans="3:10" ht="16" thickBot="1" x14ac:dyDescent="0.4">
      <c r="C26" s="2">
        <v>19</v>
      </c>
      <c r="D26" s="5">
        <v>0.78029999999999999</v>
      </c>
      <c r="E26" s="5">
        <v>0.78029999999999999</v>
      </c>
      <c r="F26" s="5">
        <v>10.4313</v>
      </c>
      <c r="G26" s="5">
        <v>10.3431</v>
      </c>
      <c r="H26" s="5">
        <v>10.4732</v>
      </c>
      <c r="I26" s="5">
        <v>9.6509999999999998</v>
      </c>
      <c r="J26" s="5">
        <v>285.78030000000001</v>
      </c>
    </row>
    <row r="27" spans="3:10" ht="16" thickBot="1" x14ac:dyDescent="0.4">
      <c r="C27" s="2">
        <v>20</v>
      </c>
      <c r="D27" s="5">
        <v>0.82140000000000002</v>
      </c>
      <c r="E27" s="5">
        <v>0.82130000000000003</v>
      </c>
      <c r="F27" s="5">
        <v>10.9803</v>
      </c>
      <c r="G27" s="5">
        <v>10.887499999999999</v>
      </c>
      <c r="H27" s="5">
        <v>11.0245</v>
      </c>
      <c r="I27" s="5">
        <v>10.159000000000001</v>
      </c>
      <c r="J27" s="5">
        <v>300.82139999999998</v>
      </c>
    </row>
    <row r="28" spans="3:10" ht="16" thickBot="1" x14ac:dyDescent="0.4">
      <c r="C28" s="5">
        <v>21</v>
      </c>
      <c r="D28" s="5">
        <v>0.86240000000000006</v>
      </c>
      <c r="E28" s="5">
        <v>0.86240000000000006</v>
      </c>
      <c r="F28" s="5">
        <v>11.529299999999999</v>
      </c>
      <c r="G28" s="5">
        <v>11.431900000000001</v>
      </c>
      <c r="H28" s="5">
        <v>11.575699999999999</v>
      </c>
      <c r="I28" s="5">
        <v>10.6669</v>
      </c>
      <c r="J28" s="5">
        <v>315.86239999999998</v>
      </c>
    </row>
    <row r="29" spans="3:10" ht="16" thickBot="1" x14ac:dyDescent="0.4">
      <c r="C29" s="5">
        <v>22</v>
      </c>
      <c r="D29" s="5">
        <v>0.90349999999999997</v>
      </c>
      <c r="E29" s="5">
        <v>0.90349999999999997</v>
      </c>
      <c r="F29" s="5">
        <v>12.0784</v>
      </c>
      <c r="G29" s="5">
        <v>11.9762</v>
      </c>
      <c r="H29" s="5">
        <v>12.126899999999999</v>
      </c>
      <c r="I29" s="5">
        <v>11.174899999999999</v>
      </c>
      <c r="J29" s="5">
        <v>330.90350000000001</v>
      </c>
    </row>
    <row r="30" spans="3:10" ht="16" thickBot="1" x14ac:dyDescent="0.4">
      <c r="C30" s="5">
        <v>23</v>
      </c>
      <c r="D30" s="5">
        <v>0.9446</v>
      </c>
      <c r="E30" s="5">
        <v>0.94450000000000001</v>
      </c>
      <c r="F30" s="5">
        <v>12.6274</v>
      </c>
      <c r="G30" s="5">
        <v>12.5206</v>
      </c>
      <c r="H30" s="5">
        <v>12.678100000000001</v>
      </c>
      <c r="I30" s="5">
        <v>11.6828</v>
      </c>
      <c r="J30" s="5">
        <v>345.94459999999998</v>
      </c>
    </row>
    <row r="31" spans="3:10" ht="16" thickBot="1" x14ac:dyDescent="0.4">
      <c r="C31" s="5">
        <v>24</v>
      </c>
      <c r="D31" s="5">
        <v>0.98560000000000003</v>
      </c>
      <c r="E31" s="5">
        <v>0.98560000000000003</v>
      </c>
      <c r="F31" s="5">
        <v>13.176399999999999</v>
      </c>
      <c r="G31" s="5">
        <v>13.065</v>
      </c>
      <c r="H31" s="5">
        <v>13.2294</v>
      </c>
      <c r="I31" s="5">
        <v>12.1907</v>
      </c>
      <c r="J31" s="5">
        <v>0.98560000000000003</v>
      </c>
    </row>
  </sheetData>
  <mergeCells count="8">
    <mergeCell ref="I4:I5"/>
    <mergeCell ref="J4:J5"/>
    <mergeCell ref="C4:C6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FE-90EA-4C5A-A19B-F97CD93EA58F}">
  <dimension ref="C3:J67"/>
  <sheetViews>
    <sheetView tabSelected="1" workbookViewId="0">
      <selection activeCell="J4" sqref="J4:J5"/>
    </sheetView>
  </sheetViews>
  <sheetFormatPr defaultRowHeight="14.5" x14ac:dyDescent="0.35"/>
  <cols>
    <col min="4" max="4" width="10.7265625" customWidth="1"/>
    <col min="5" max="5" width="12" customWidth="1"/>
    <col min="6" max="6" width="11.1796875" customWidth="1"/>
    <col min="7" max="7" width="11.26953125" customWidth="1"/>
    <col min="8" max="8" width="10.81640625" customWidth="1"/>
    <col min="9" max="9" width="10" customWidth="1"/>
    <col min="10" max="10" width="11.26953125" customWidth="1"/>
  </cols>
  <sheetData>
    <row r="3" spans="3:10" ht="15" thickBot="1" x14ac:dyDescent="0.4"/>
    <row r="4" spans="3:10" x14ac:dyDescent="0.35">
      <c r="C4" s="64" t="s">
        <v>0</v>
      </c>
      <c r="D4" s="62" t="s">
        <v>97</v>
      </c>
      <c r="E4" s="62" t="s">
        <v>100</v>
      </c>
      <c r="F4" s="62" t="s">
        <v>99</v>
      </c>
      <c r="G4" s="62" t="s">
        <v>212</v>
      </c>
      <c r="H4" s="62" t="s">
        <v>8</v>
      </c>
      <c r="I4" s="62" t="s">
        <v>102</v>
      </c>
      <c r="J4" s="62" t="s">
        <v>104</v>
      </c>
    </row>
    <row r="5" spans="3:10" ht="15" thickBot="1" x14ac:dyDescent="0.4">
      <c r="C5" s="65"/>
      <c r="D5" s="63"/>
      <c r="E5" s="63"/>
      <c r="F5" s="63"/>
      <c r="G5" s="63"/>
      <c r="H5" s="63"/>
      <c r="I5" s="63"/>
      <c r="J5" s="63"/>
    </row>
    <row r="6" spans="3:10" ht="15.5" thickBot="1" x14ac:dyDescent="0.4">
      <c r="C6" s="39"/>
      <c r="D6" s="22" t="s">
        <v>108</v>
      </c>
      <c r="E6" s="22" t="s">
        <v>109</v>
      </c>
      <c r="F6" s="22" t="s">
        <v>2</v>
      </c>
      <c r="G6" s="22" t="s">
        <v>5</v>
      </c>
      <c r="H6" s="22" t="s">
        <v>110</v>
      </c>
      <c r="I6" s="22" t="s">
        <v>111</v>
      </c>
      <c r="J6" s="22" t="s">
        <v>113</v>
      </c>
    </row>
    <row r="7" spans="3:10" ht="16" thickBot="1" x14ac:dyDescent="0.4">
      <c r="C7" s="23"/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3:10" ht="16" thickBot="1" x14ac:dyDescent="0.4">
      <c r="C8" s="5">
        <v>1</v>
      </c>
      <c r="D8" s="9">
        <v>6.9999999999999999E-4</v>
      </c>
      <c r="E8" s="9">
        <v>6.9999999999999999E-4</v>
      </c>
      <c r="F8" s="9">
        <v>9.1999999999999998E-3</v>
      </c>
      <c r="G8" s="9">
        <v>9.1000000000000004E-3</v>
      </c>
      <c r="H8" s="9">
        <v>9.1999999999999998E-3</v>
      </c>
      <c r="I8" s="9">
        <v>8.5000000000000006E-3</v>
      </c>
      <c r="J8" s="9">
        <v>0.25069999999999998</v>
      </c>
    </row>
    <row r="9" spans="3:10" ht="16" thickBot="1" x14ac:dyDescent="0.4">
      <c r="C9" s="5">
        <v>2</v>
      </c>
      <c r="D9" s="9">
        <v>1.4E-3</v>
      </c>
      <c r="E9" s="9">
        <v>1.4E-3</v>
      </c>
      <c r="F9" s="9">
        <v>1.83E-2</v>
      </c>
      <c r="G9" s="9">
        <v>1.8100000000000002E-2</v>
      </c>
      <c r="H9" s="9">
        <v>1.84E-2</v>
      </c>
      <c r="I9" s="9">
        <v>1.6899999999999998E-2</v>
      </c>
      <c r="J9" s="9">
        <v>0.50139999999999996</v>
      </c>
    </row>
    <row r="10" spans="3:10" ht="16" thickBot="1" x14ac:dyDescent="0.4">
      <c r="C10" s="5">
        <v>3</v>
      </c>
      <c r="D10" s="9">
        <v>2.0999999999999999E-3</v>
      </c>
      <c r="E10" s="9">
        <v>2.0999999999999999E-3</v>
      </c>
      <c r="F10" s="9">
        <v>2.75E-2</v>
      </c>
      <c r="G10" s="9">
        <v>2.7199999999999998E-2</v>
      </c>
      <c r="H10" s="9">
        <v>2.76E-2</v>
      </c>
      <c r="I10" s="9">
        <v>2.5399999999999999E-2</v>
      </c>
      <c r="J10" s="9">
        <v>0.75209999999999999</v>
      </c>
    </row>
    <row r="11" spans="3:10" ht="16" thickBot="1" x14ac:dyDescent="0.4">
      <c r="C11" s="5">
        <v>4</v>
      </c>
      <c r="D11" s="9">
        <v>2.7000000000000001E-3</v>
      </c>
      <c r="E11" s="9">
        <v>2.7000000000000001E-3</v>
      </c>
      <c r="F11" s="9">
        <v>3.6600000000000001E-2</v>
      </c>
      <c r="G11" s="9">
        <v>3.6299999999999999E-2</v>
      </c>
      <c r="H11" s="9">
        <v>3.6700000000000003E-2</v>
      </c>
      <c r="I11" s="9">
        <v>3.39E-2</v>
      </c>
      <c r="J11" s="9">
        <v>1.0026999999999999</v>
      </c>
    </row>
    <row r="12" spans="3:10" ht="16" thickBot="1" x14ac:dyDescent="0.4">
      <c r="C12" s="5">
        <v>5</v>
      </c>
      <c r="D12" s="9">
        <v>3.3999999999999998E-3</v>
      </c>
      <c r="E12" s="9">
        <v>3.3999999999999998E-3</v>
      </c>
      <c r="F12" s="9">
        <v>4.58E-2</v>
      </c>
      <c r="G12" s="9">
        <v>4.5400000000000003E-2</v>
      </c>
      <c r="H12" s="9">
        <v>4.5900000000000003E-2</v>
      </c>
      <c r="I12" s="9">
        <v>4.2299999999999997E-2</v>
      </c>
      <c r="J12" s="9">
        <v>1.2534000000000001</v>
      </c>
    </row>
    <row r="13" spans="3:10" ht="16" thickBot="1" x14ac:dyDescent="0.4">
      <c r="C13" s="5">
        <v>6</v>
      </c>
      <c r="D13" s="9">
        <v>4.1000000000000003E-3</v>
      </c>
      <c r="E13" s="9">
        <v>4.1000000000000003E-3</v>
      </c>
      <c r="F13" s="9">
        <v>5.4899999999999997E-2</v>
      </c>
      <c r="G13" s="9">
        <v>5.4399999999999997E-2</v>
      </c>
      <c r="H13" s="9">
        <v>5.5100000000000003E-2</v>
      </c>
      <c r="I13" s="9">
        <v>5.0799999999999998E-2</v>
      </c>
      <c r="J13" s="9">
        <v>1.5041</v>
      </c>
    </row>
    <row r="14" spans="3:10" ht="16" thickBot="1" x14ac:dyDescent="0.4">
      <c r="C14" s="5">
        <v>7</v>
      </c>
      <c r="D14" s="9">
        <v>4.7999999999999996E-3</v>
      </c>
      <c r="E14" s="9">
        <v>4.7999999999999996E-3</v>
      </c>
      <c r="F14" s="9">
        <v>6.4100000000000004E-2</v>
      </c>
      <c r="G14" s="9">
        <v>6.3500000000000001E-2</v>
      </c>
      <c r="H14" s="9">
        <v>6.4299999999999996E-2</v>
      </c>
      <c r="I14" s="9">
        <v>5.9299999999999999E-2</v>
      </c>
      <c r="J14" s="9">
        <v>1.7547999999999999</v>
      </c>
    </row>
    <row r="15" spans="3:10" ht="16" thickBot="1" x14ac:dyDescent="0.4">
      <c r="C15" s="5">
        <v>8</v>
      </c>
      <c r="D15" s="9">
        <v>5.4999999999999997E-3</v>
      </c>
      <c r="E15" s="9">
        <v>5.4999999999999997E-3</v>
      </c>
      <c r="F15" s="9">
        <v>7.3200000000000001E-2</v>
      </c>
      <c r="G15" s="9">
        <v>7.2599999999999998E-2</v>
      </c>
      <c r="H15" s="9">
        <v>7.3499999999999996E-2</v>
      </c>
      <c r="I15" s="9">
        <v>6.7699999999999996E-2</v>
      </c>
      <c r="J15" s="9">
        <v>2.0055000000000001</v>
      </c>
    </row>
    <row r="16" spans="3:10" ht="16" thickBot="1" x14ac:dyDescent="0.4">
      <c r="C16" s="5">
        <v>9</v>
      </c>
      <c r="D16" s="9">
        <v>6.1999999999999998E-3</v>
      </c>
      <c r="E16" s="9">
        <v>6.1999999999999998E-3</v>
      </c>
      <c r="F16" s="9">
        <v>8.2400000000000001E-2</v>
      </c>
      <c r="G16" s="9">
        <v>8.1699999999999995E-2</v>
      </c>
      <c r="H16" s="9">
        <v>8.2699999999999996E-2</v>
      </c>
      <c r="I16" s="9">
        <v>7.6200000000000004E-2</v>
      </c>
      <c r="J16" s="9">
        <v>2.2562000000000002</v>
      </c>
    </row>
    <row r="17" spans="3:10" ht="16" thickBot="1" x14ac:dyDescent="0.4">
      <c r="C17" s="5">
        <v>10</v>
      </c>
      <c r="D17" s="9">
        <v>6.7999999999999996E-3</v>
      </c>
      <c r="E17" s="9">
        <v>6.7999999999999996E-3</v>
      </c>
      <c r="F17" s="9">
        <v>9.1499999999999998E-2</v>
      </c>
      <c r="G17" s="9">
        <v>9.0700000000000003E-2</v>
      </c>
      <c r="H17" s="9">
        <v>9.1899999999999996E-2</v>
      </c>
      <c r="I17" s="9">
        <v>8.4699999999999998E-2</v>
      </c>
      <c r="J17" s="9">
        <v>2.5068000000000001</v>
      </c>
    </row>
    <row r="18" spans="3:10" ht="16" thickBot="1" x14ac:dyDescent="0.4">
      <c r="C18" s="5">
        <v>11</v>
      </c>
      <c r="D18" s="9">
        <v>7.4999999999999997E-3</v>
      </c>
      <c r="E18" s="9">
        <v>7.4999999999999997E-3</v>
      </c>
      <c r="F18" s="9">
        <v>0.1007</v>
      </c>
      <c r="G18" s="9">
        <v>9.98E-2</v>
      </c>
      <c r="H18" s="9">
        <v>0.1011</v>
      </c>
      <c r="I18" s="9">
        <v>9.3100000000000002E-2</v>
      </c>
      <c r="J18" s="9">
        <v>2.7574999999999998</v>
      </c>
    </row>
    <row r="19" spans="3:10" ht="16" thickBot="1" x14ac:dyDescent="0.4">
      <c r="C19" s="5">
        <v>12</v>
      </c>
      <c r="D19" s="9">
        <v>8.2000000000000007E-3</v>
      </c>
      <c r="E19" s="9">
        <v>8.2000000000000007E-3</v>
      </c>
      <c r="F19" s="9">
        <v>0.10979999999999999</v>
      </c>
      <c r="G19" s="9">
        <v>0.1089</v>
      </c>
      <c r="H19" s="9">
        <v>0.11020000000000001</v>
      </c>
      <c r="I19" s="9">
        <v>0.1016</v>
      </c>
      <c r="J19" s="9">
        <v>3.0082</v>
      </c>
    </row>
    <row r="20" spans="3:10" ht="16" thickBot="1" x14ac:dyDescent="0.4">
      <c r="C20" s="5">
        <v>13</v>
      </c>
      <c r="D20" s="9">
        <v>8.8999999999999999E-3</v>
      </c>
      <c r="E20" s="9">
        <v>8.8999999999999999E-3</v>
      </c>
      <c r="F20" s="9">
        <v>0.11899999999999999</v>
      </c>
      <c r="G20" s="9">
        <v>0.1179</v>
      </c>
      <c r="H20" s="9">
        <v>0.11940000000000001</v>
      </c>
      <c r="I20" s="9">
        <v>0.1101</v>
      </c>
      <c r="J20" s="9">
        <v>3.2589000000000001</v>
      </c>
    </row>
    <row r="21" spans="3:10" ht="16" thickBot="1" x14ac:dyDescent="0.4">
      <c r="C21" s="5">
        <v>14</v>
      </c>
      <c r="D21" s="9">
        <v>9.5999999999999992E-3</v>
      </c>
      <c r="E21" s="9">
        <v>9.5999999999999992E-3</v>
      </c>
      <c r="F21" s="9">
        <v>0.12809999999999999</v>
      </c>
      <c r="G21" s="9">
        <v>0.127</v>
      </c>
      <c r="H21" s="9">
        <v>0.12859999999999999</v>
      </c>
      <c r="I21" s="9">
        <v>0.11849999999999999</v>
      </c>
      <c r="J21" s="9">
        <v>3.5095999999999998</v>
      </c>
    </row>
    <row r="22" spans="3:10" ht="16" thickBot="1" x14ac:dyDescent="0.4">
      <c r="C22" s="5">
        <v>15</v>
      </c>
      <c r="D22" s="9">
        <v>1.03E-2</v>
      </c>
      <c r="E22" s="9">
        <v>1.03E-2</v>
      </c>
      <c r="F22" s="9">
        <v>0.13730000000000001</v>
      </c>
      <c r="G22" s="9">
        <v>0.1361</v>
      </c>
      <c r="H22" s="9">
        <v>0.13780000000000001</v>
      </c>
      <c r="I22" s="9">
        <v>0.127</v>
      </c>
      <c r="J22" s="9">
        <v>3.7603</v>
      </c>
    </row>
    <row r="23" spans="3:10" ht="16" thickBot="1" x14ac:dyDescent="0.4">
      <c r="C23" s="5">
        <v>16</v>
      </c>
      <c r="D23" s="9">
        <v>1.0999999999999999E-2</v>
      </c>
      <c r="E23" s="9">
        <v>1.0999999999999999E-2</v>
      </c>
      <c r="F23" s="9">
        <v>0.1464</v>
      </c>
      <c r="G23" s="9">
        <v>0.1452</v>
      </c>
      <c r="H23" s="9">
        <v>0.14699999999999999</v>
      </c>
      <c r="I23" s="9">
        <v>0.13550000000000001</v>
      </c>
      <c r="J23" s="9">
        <v>4.0110000000000001</v>
      </c>
    </row>
    <row r="24" spans="3:10" ht="16" thickBot="1" x14ac:dyDescent="0.4">
      <c r="C24" s="5">
        <v>17</v>
      </c>
      <c r="D24" s="9">
        <v>1.1599999999999999E-2</v>
      </c>
      <c r="E24" s="9">
        <v>1.1599999999999999E-2</v>
      </c>
      <c r="F24" s="9">
        <v>0.15559999999999999</v>
      </c>
      <c r="G24" s="9">
        <v>0.1542</v>
      </c>
      <c r="H24" s="9">
        <v>0.15620000000000001</v>
      </c>
      <c r="I24" s="9">
        <v>0.1439</v>
      </c>
      <c r="J24" s="9">
        <v>4.2615999999999996</v>
      </c>
    </row>
    <row r="25" spans="3:10" ht="16" thickBot="1" x14ac:dyDescent="0.4">
      <c r="C25" s="5">
        <v>18</v>
      </c>
      <c r="D25" s="9">
        <v>1.23E-2</v>
      </c>
      <c r="E25" s="9">
        <v>1.23E-2</v>
      </c>
      <c r="F25" s="9">
        <v>0.16470000000000001</v>
      </c>
      <c r="G25" s="9">
        <v>0.1633</v>
      </c>
      <c r="H25" s="9">
        <v>0.16539999999999999</v>
      </c>
      <c r="I25" s="9">
        <v>0.15240000000000001</v>
      </c>
      <c r="J25" s="9">
        <v>4.5122999999999998</v>
      </c>
    </row>
    <row r="26" spans="3:10" ht="16" thickBot="1" x14ac:dyDescent="0.4">
      <c r="C26" s="5">
        <v>19</v>
      </c>
      <c r="D26" s="9">
        <v>1.2999999999999999E-2</v>
      </c>
      <c r="E26" s="9">
        <v>1.2999999999999999E-2</v>
      </c>
      <c r="F26" s="9">
        <v>0.1739</v>
      </c>
      <c r="G26" s="9">
        <v>0.1724</v>
      </c>
      <c r="H26" s="9">
        <v>0.17460000000000001</v>
      </c>
      <c r="I26" s="9">
        <v>0.16089999999999999</v>
      </c>
      <c r="J26" s="9">
        <v>4.7629999999999999</v>
      </c>
    </row>
    <row r="27" spans="3:10" ht="16" thickBot="1" x14ac:dyDescent="0.4">
      <c r="C27" s="5">
        <v>20</v>
      </c>
      <c r="D27" s="9">
        <v>1.37E-2</v>
      </c>
      <c r="E27" s="9">
        <v>1.37E-2</v>
      </c>
      <c r="F27" s="9">
        <v>0.183</v>
      </c>
      <c r="G27" s="9">
        <v>0.18149999999999999</v>
      </c>
      <c r="H27" s="9">
        <v>0.1837</v>
      </c>
      <c r="I27" s="9">
        <v>0.16930000000000001</v>
      </c>
      <c r="J27" s="9">
        <v>5.0137</v>
      </c>
    </row>
    <row r="28" spans="3:10" ht="16" thickBot="1" x14ac:dyDescent="0.4">
      <c r="C28" s="5">
        <v>21</v>
      </c>
      <c r="D28" s="9">
        <v>1.44E-2</v>
      </c>
      <c r="E28" s="9">
        <v>1.44E-2</v>
      </c>
      <c r="F28" s="9">
        <v>0.19220000000000001</v>
      </c>
      <c r="G28" s="9">
        <v>0.1905</v>
      </c>
      <c r="H28" s="9">
        <v>0.19289999999999999</v>
      </c>
      <c r="I28" s="9">
        <v>0.17780000000000001</v>
      </c>
      <c r="J28" s="9">
        <v>5.2644000000000002</v>
      </c>
    </row>
    <row r="29" spans="3:10" ht="16" thickBot="1" x14ac:dyDescent="0.4">
      <c r="C29" s="5">
        <v>22</v>
      </c>
      <c r="D29" s="9">
        <v>1.5100000000000001E-2</v>
      </c>
      <c r="E29" s="9">
        <v>1.5100000000000001E-2</v>
      </c>
      <c r="F29" s="9">
        <v>0.20130000000000001</v>
      </c>
      <c r="G29" s="9">
        <v>0.1996</v>
      </c>
      <c r="H29" s="9">
        <v>0.2021</v>
      </c>
      <c r="I29" s="9">
        <v>0.18629999999999999</v>
      </c>
      <c r="J29" s="9">
        <v>5.5151000000000003</v>
      </c>
    </row>
    <row r="30" spans="3:10" ht="16" thickBot="1" x14ac:dyDescent="0.4">
      <c r="C30" s="5">
        <v>23</v>
      </c>
      <c r="D30" s="9">
        <v>1.5699999999999999E-2</v>
      </c>
      <c r="E30" s="9">
        <v>1.5699999999999999E-2</v>
      </c>
      <c r="F30" s="9">
        <v>0.21049999999999999</v>
      </c>
      <c r="G30" s="9">
        <v>0.2087</v>
      </c>
      <c r="H30" s="9">
        <v>0.21129999999999999</v>
      </c>
      <c r="I30" s="9">
        <v>0.19470000000000001</v>
      </c>
      <c r="J30" s="9">
        <v>5.7656999999999998</v>
      </c>
    </row>
    <row r="31" spans="3:10" ht="16" thickBot="1" x14ac:dyDescent="0.4">
      <c r="C31" s="5">
        <v>24</v>
      </c>
      <c r="D31" s="9">
        <v>1.6400000000000001E-2</v>
      </c>
      <c r="E31" s="9">
        <v>1.6400000000000001E-2</v>
      </c>
      <c r="F31" s="9">
        <v>0.21959999999999999</v>
      </c>
      <c r="G31" s="9">
        <v>0.2177</v>
      </c>
      <c r="H31" s="9">
        <v>0.2205</v>
      </c>
      <c r="I31" s="9">
        <v>0.20319999999999999</v>
      </c>
      <c r="J31" s="9">
        <v>6.0164</v>
      </c>
    </row>
    <row r="32" spans="3:10" ht="16" thickBot="1" x14ac:dyDescent="0.4">
      <c r="C32" s="5">
        <v>25</v>
      </c>
      <c r="D32" s="9">
        <v>1.7100000000000001E-2</v>
      </c>
      <c r="E32" s="9">
        <v>1.7100000000000001E-2</v>
      </c>
      <c r="F32" s="9">
        <v>0.2288</v>
      </c>
      <c r="G32" s="9">
        <v>0.2268</v>
      </c>
      <c r="H32" s="9">
        <v>0.22969999999999999</v>
      </c>
      <c r="I32" s="9">
        <v>0.21160000000000001</v>
      </c>
      <c r="J32" s="9">
        <v>6.2671000000000001</v>
      </c>
    </row>
    <row r="33" spans="3:10" ht="16" thickBot="1" x14ac:dyDescent="0.4">
      <c r="C33" s="5">
        <v>26</v>
      </c>
      <c r="D33" s="9">
        <v>1.78E-2</v>
      </c>
      <c r="E33" s="9">
        <v>1.78E-2</v>
      </c>
      <c r="F33" s="9">
        <v>0.2379</v>
      </c>
      <c r="G33" s="9">
        <v>0.2359</v>
      </c>
      <c r="H33" s="9">
        <v>0.2389</v>
      </c>
      <c r="I33" s="9">
        <v>0.22009999999999999</v>
      </c>
      <c r="J33" s="9">
        <v>6.5178000000000003</v>
      </c>
    </row>
    <row r="34" spans="3:10" ht="16" thickBot="1" x14ac:dyDescent="0.4">
      <c r="C34" s="5">
        <v>27</v>
      </c>
      <c r="D34" s="9">
        <v>1.8499999999999999E-2</v>
      </c>
      <c r="E34" s="9">
        <v>1.8499999999999999E-2</v>
      </c>
      <c r="F34" s="9">
        <v>0.24709999999999999</v>
      </c>
      <c r="G34" s="9">
        <v>0.245</v>
      </c>
      <c r="H34" s="9">
        <v>0.24809999999999999</v>
      </c>
      <c r="I34" s="9">
        <v>0.2286</v>
      </c>
      <c r="J34" s="9">
        <v>6.7685000000000004</v>
      </c>
    </row>
    <row r="35" spans="3:10" ht="16" thickBot="1" x14ac:dyDescent="0.4">
      <c r="C35" s="5">
        <v>28</v>
      </c>
      <c r="D35" s="9">
        <v>1.9199999999999998E-2</v>
      </c>
      <c r="E35" s="9">
        <v>1.9199999999999998E-2</v>
      </c>
      <c r="F35" s="9">
        <v>0.25619999999999998</v>
      </c>
      <c r="G35" s="9">
        <v>0.254</v>
      </c>
      <c r="H35" s="9">
        <v>0.25719999999999998</v>
      </c>
      <c r="I35" s="9">
        <v>0.23699999999999999</v>
      </c>
      <c r="J35" s="9">
        <v>7.0191999999999997</v>
      </c>
    </row>
    <row r="36" spans="3:10" ht="16" thickBot="1" x14ac:dyDescent="0.4">
      <c r="C36" s="5">
        <v>29</v>
      </c>
      <c r="D36" s="9">
        <v>1.9800000000000002E-2</v>
      </c>
      <c r="E36" s="9">
        <v>1.9800000000000002E-2</v>
      </c>
      <c r="F36" s="9">
        <v>0.26540000000000002</v>
      </c>
      <c r="G36" s="9">
        <v>0.2631</v>
      </c>
      <c r="H36" s="9">
        <v>0.26640000000000003</v>
      </c>
      <c r="I36" s="9">
        <v>0.2455</v>
      </c>
      <c r="J36" s="9">
        <v>7.2698</v>
      </c>
    </row>
    <row r="37" spans="3:10" ht="16" thickBot="1" x14ac:dyDescent="0.4">
      <c r="C37" s="5">
        <v>30</v>
      </c>
      <c r="D37" s="9">
        <v>2.0500000000000001E-2</v>
      </c>
      <c r="E37" s="9">
        <v>2.0500000000000001E-2</v>
      </c>
      <c r="F37" s="9">
        <v>0.27450000000000002</v>
      </c>
      <c r="G37" s="9">
        <v>0.2722</v>
      </c>
      <c r="H37" s="9">
        <v>0.27560000000000001</v>
      </c>
      <c r="I37" s="9">
        <v>0.254</v>
      </c>
      <c r="J37" s="9">
        <v>7.5205000000000002</v>
      </c>
    </row>
    <row r="38" spans="3:10" ht="16" thickBot="1" x14ac:dyDescent="0.4">
      <c r="C38" s="5">
        <v>31</v>
      </c>
      <c r="D38" s="9">
        <v>2.12E-2</v>
      </c>
      <c r="E38" s="9">
        <v>2.12E-2</v>
      </c>
      <c r="F38" s="9">
        <v>0.28370000000000001</v>
      </c>
      <c r="G38" s="9">
        <v>0.28129999999999999</v>
      </c>
      <c r="H38" s="9">
        <v>0.2848</v>
      </c>
      <c r="I38" s="9">
        <v>0.26240000000000002</v>
      </c>
      <c r="J38" s="9">
        <v>7.7712000000000003</v>
      </c>
    </row>
    <row r="39" spans="3:10" ht="16" thickBot="1" x14ac:dyDescent="0.4">
      <c r="C39" s="5">
        <v>32</v>
      </c>
      <c r="D39" s="9">
        <v>2.1899999999999999E-2</v>
      </c>
      <c r="E39" s="9">
        <v>2.1899999999999999E-2</v>
      </c>
      <c r="F39" s="9">
        <v>0.2928</v>
      </c>
      <c r="G39" s="9">
        <v>0.2903</v>
      </c>
      <c r="H39" s="9">
        <v>0.29399999999999998</v>
      </c>
      <c r="I39" s="9">
        <v>0.27089999999999997</v>
      </c>
      <c r="J39" s="9">
        <v>8.0219000000000005</v>
      </c>
    </row>
    <row r="40" spans="3:10" ht="16" thickBot="1" x14ac:dyDescent="0.4">
      <c r="C40" s="5">
        <v>33</v>
      </c>
      <c r="D40" s="9">
        <v>2.2599999999999999E-2</v>
      </c>
      <c r="E40" s="9">
        <v>2.2599999999999999E-2</v>
      </c>
      <c r="F40" s="9">
        <v>0.30199999999999999</v>
      </c>
      <c r="G40" s="9">
        <v>0.2994</v>
      </c>
      <c r="H40" s="9">
        <v>0.30320000000000003</v>
      </c>
      <c r="I40" s="9">
        <v>0.27939999999999998</v>
      </c>
      <c r="J40" s="9">
        <v>8.2726000000000006</v>
      </c>
    </row>
    <row r="41" spans="3:10" ht="16" thickBot="1" x14ac:dyDescent="0.4">
      <c r="C41" s="5">
        <v>34</v>
      </c>
      <c r="D41" s="9">
        <v>2.3300000000000001E-2</v>
      </c>
      <c r="E41" s="9">
        <v>2.3300000000000001E-2</v>
      </c>
      <c r="F41" s="9">
        <v>0.31109999999999999</v>
      </c>
      <c r="G41" s="9">
        <v>0.3085</v>
      </c>
      <c r="H41" s="9">
        <v>0.31240000000000001</v>
      </c>
      <c r="I41" s="9">
        <v>0.2878</v>
      </c>
      <c r="J41" s="9">
        <v>8.5233000000000008</v>
      </c>
    </row>
    <row r="42" spans="3:10" ht="16" thickBot="1" x14ac:dyDescent="0.4">
      <c r="C42" s="5">
        <v>35</v>
      </c>
      <c r="D42" s="9">
        <v>2.4E-2</v>
      </c>
      <c r="E42" s="9">
        <v>2.4E-2</v>
      </c>
      <c r="F42" s="9">
        <v>0.32029999999999997</v>
      </c>
      <c r="G42" s="9">
        <v>0.31759999999999999</v>
      </c>
      <c r="H42" s="9">
        <v>0.32150000000000001</v>
      </c>
      <c r="I42" s="9">
        <v>0.29630000000000001</v>
      </c>
      <c r="J42" s="9">
        <v>8.7739999999999991</v>
      </c>
    </row>
    <row r="43" spans="3:10" ht="16" thickBot="1" x14ac:dyDescent="0.4">
      <c r="C43" s="5">
        <v>36</v>
      </c>
      <c r="D43" s="9">
        <v>2.46E-2</v>
      </c>
      <c r="E43" s="9">
        <v>2.46E-2</v>
      </c>
      <c r="F43" s="9">
        <v>0.32940000000000003</v>
      </c>
      <c r="G43" s="9">
        <v>0.3266</v>
      </c>
      <c r="H43" s="9">
        <v>0.33069999999999999</v>
      </c>
      <c r="I43" s="9">
        <v>0.30480000000000002</v>
      </c>
      <c r="J43" s="9">
        <v>9.0245999999999995</v>
      </c>
    </row>
    <row r="44" spans="3:10" ht="16" thickBot="1" x14ac:dyDescent="0.4">
      <c r="C44" s="5">
        <v>37</v>
      </c>
      <c r="D44" s="9">
        <v>2.53E-2</v>
      </c>
      <c r="E44" s="9">
        <v>2.53E-2</v>
      </c>
      <c r="F44" s="9">
        <v>0.33860000000000001</v>
      </c>
      <c r="G44" s="9">
        <v>0.3357</v>
      </c>
      <c r="H44" s="9">
        <v>0.33989999999999998</v>
      </c>
      <c r="I44" s="9">
        <v>0.31319999999999998</v>
      </c>
      <c r="J44" s="9">
        <v>9.2752999999999997</v>
      </c>
    </row>
    <row r="45" spans="3:10" ht="16" thickBot="1" x14ac:dyDescent="0.4">
      <c r="C45" s="5">
        <v>38</v>
      </c>
      <c r="D45" s="9">
        <v>2.5999999999999999E-2</v>
      </c>
      <c r="E45" s="9">
        <v>2.5999999999999999E-2</v>
      </c>
      <c r="F45" s="9">
        <v>0.34770000000000001</v>
      </c>
      <c r="G45" s="9">
        <v>0.3448</v>
      </c>
      <c r="H45" s="9">
        <v>0.34910000000000002</v>
      </c>
      <c r="I45" s="9">
        <v>0.32169999999999999</v>
      </c>
      <c r="J45" s="9">
        <v>9.5259999999999998</v>
      </c>
    </row>
    <row r="46" spans="3:10" ht="16" thickBot="1" x14ac:dyDescent="0.4">
      <c r="C46" s="5">
        <v>39</v>
      </c>
      <c r="D46" s="9">
        <v>2.6700000000000002E-2</v>
      </c>
      <c r="E46" s="9">
        <v>2.6700000000000002E-2</v>
      </c>
      <c r="F46" s="9">
        <v>0.3569</v>
      </c>
      <c r="G46" s="9">
        <v>0.3538</v>
      </c>
      <c r="H46" s="9">
        <v>0.35830000000000001</v>
      </c>
      <c r="I46" s="9">
        <v>0.33019999999999999</v>
      </c>
      <c r="J46" s="9">
        <v>9.7766999999999999</v>
      </c>
    </row>
    <row r="47" spans="3:10" ht="16" thickBot="1" x14ac:dyDescent="0.4">
      <c r="C47" s="5">
        <v>40</v>
      </c>
      <c r="D47" s="9">
        <v>2.7400000000000001E-2</v>
      </c>
      <c r="E47" s="9">
        <v>2.7400000000000001E-2</v>
      </c>
      <c r="F47" s="9">
        <v>0.36599999999999999</v>
      </c>
      <c r="G47" s="9">
        <v>0.3629</v>
      </c>
      <c r="H47" s="9">
        <v>0.36749999999999999</v>
      </c>
      <c r="I47" s="9">
        <v>0.33860000000000001</v>
      </c>
      <c r="J47" s="9">
        <v>10.0274</v>
      </c>
    </row>
    <row r="48" spans="3:10" ht="16" thickBot="1" x14ac:dyDescent="0.4">
      <c r="C48" s="5">
        <v>41</v>
      </c>
      <c r="D48" s="9">
        <v>2.81E-2</v>
      </c>
      <c r="E48" s="9">
        <v>2.81E-2</v>
      </c>
      <c r="F48" s="9">
        <v>0.37519999999999998</v>
      </c>
      <c r="G48" s="9">
        <v>0.372</v>
      </c>
      <c r="H48" s="9">
        <v>0.37669999999999998</v>
      </c>
      <c r="I48" s="9">
        <v>0.34710000000000002</v>
      </c>
      <c r="J48" s="9">
        <v>10.2781</v>
      </c>
    </row>
    <row r="49" spans="3:10" ht="16" thickBot="1" x14ac:dyDescent="0.4">
      <c r="C49" s="5">
        <v>42</v>
      </c>
      <c r="D49" s="9">
        <v>2.87E-2</v>
      </c>
      <c r="E49" s="9">
        <v>2.87E-2</v>
      </c>
      <c r="F49" s="9">
        <v>0.38429999999999997</v>
      </c>
      <c r="G49" s="9">
        <v>0.38109999999999999</v>
      </c>
      <c r="H49" s="9">
        <v>0.38590000000000002</v>
      </c>
      <c r="I49" s="9">
        <v>0.35560000000000003</v>
      </c>
      <c r="J49" s="9">
        <v>10.528700000000001</v>
      </c>
    </row>
    <row r="50" spans="3:10" ht="16" thickBot="1" x14ac:dyDescent="0.4">
      <c r="C50" s="5">
        <v>43</v>
      </c>
      <c r="D50" s="9">
        <v>2.9399999999999999E-2</v>
      </c>
      <c r="E50" s="9">
        <v>2.9399999999999999E-2</v>
      </c>
      <c r="F50" s="9">
        <v>0.39350000000000002</v>
      </c>
      <c r="G50" s="9">
        <v>0.3901</v>
      </c>
      <c r="H50" s="9">
        <v>0.39500000000000002</v>
      </c>
      <c r="I50" s="9">
        <v>0.36399999999999999</v>
      </c>
      <c r="J50" s="9">
        <v>10.779400000000001</v>
      </c>
    </row>
    <row r="51" spans="3:10" ht="16" thickBot="1" x14ac:dyDescent="0.4">
      <c r="C51" s="5">
        <v>44</v>
      </c>
      <c r="D51" s="9">
        <v>3.0099999999999998E-2</v>
      </c>
      <c r="E51" s="9">
        <v>3.0099999999999998E-2</v>
      </c>
      <c r="F51" s="9">
        <v>0.40260000000000001</v>
      </c>
      <c r="G51" s="9">
        <v>0.3992</v>
      </c>
      <c r="H51" s="9">
        <v>0.4042</v>
      </c>
      <c r="I51" s="9">
        <v>0.3725</v>
      </c>
      <c r="J51" s="9">
        <v>11.030099999999999</v>
      </c>
    </row>
    <row r="52" spans="3:10" ht="16" thickBot="1" x14ac:dyDescent="0.4">
      <c r="C52" s="5">
        <v>45</v>
      </c>
      <c r="D52" s="9">
        <v>3.0800000000000001E-2</v>
      </c>
      <c r="E52" s="9">
        <v>3.0800000000000001E-2</v>
      </c>
      <c r="F52" s="9">
        <v>0.4118</v>
      </c>
      <c r="G52" s="9">
        <v>0.4083</v>
      </c>
      <c r="H52" s="9">
        <v>0.41339999999999999</v>
      </c>
      <c r="I52" s="9">
        <v>0.38100000000000001</v>
      </c>
      <c r="J52" s="9">
        <v>11.280799999999999</v>
      </c>
    </row>
    <row r="53" spans="3:10" ht="16" thickBot="1" x14ac:dyDescent="0.4">
      <c r="C53" s="5">
        <v>46</v>
      </c>
      <c r="D53" s="9">
        <v>3.15E-2</v>
      </c>
      <c r="E53" s="9">
        <v>3.15E-2</v>
      </c>
      <c r="F53" s="9">
        <v>0.4209</v>
      </c>
      <c r="G53" s="9">
        <v>0.41739999999999999</v>
      </c>
      <c r="H53" s="9">
        <v>0.42259999999999998</v>
      </c>
      <c r="I53" s="9">
        <v>0.38940000000000002</v>
      </c>
      <c r="J53" s="9">
        <v>11.531499999999999</v>
      </c>
    </row>
    <row r="54" spans="3:10" ht="16" thickBot="1" x14ac:dyDescent="0.4">
      <c r="C54" s="5">
        <v>47</v>
      </c>
      <c r="D54" s="9">
        <v>3.2199999999999999E-2</v>
      </c>
      <c r="E54" s="9">
        <v>3.2199999999999999E-2</v>
      </c>
      <c r="F54" s="9">
        <v>0.43009999999999998</v>
      </c>
      <c r="G54" s="9">
        <v>0.4264</v>
      </c>
      <c r="H54" s="9">
        <v>0.43180000000000002</v>
      </c>
      <c r="I54" s="9">
        <v>0.39789999999999998</v>
      </c>
      <c r="J54" s="9">
        <v>11.7822</v>
      </c>
    </row>
    <row r="55" spans="3:10" ht="16" thickBot="1" x14ac:dyDescent="0.4">
      <c r="C55" s="5">
        <v>48</v>
      </c>
      <c r="D55" s="9">
        <v>3.2899999999999999E-2</v>
      </c>
      <c r="E55" s="9">
        <v>3.2899999999999999E-2</v>
      </c>
      <c r="F55" s="9">
        <v>0.43919999999999998</v>
      </c>
      <c r="G55" s="9">
        <v>0.4355</v>
      </c>
      <c r="H55" s="9">
        <v>0.441</v>
      </c>
      <c r="I55" s="9">
        <v>0.40639999999999998</v>
      </c>
      <c r="J55" s="9">
        <v>12.0329</v>
      </c>
    </row>
    <row r="56" spans="3:10" ht="16" thickBot="1" x14ac:dyDescent="0.4">
      <c r="C56" s="5">
        <v>49</v>
      </c>
      <c r="D56" s="9">
        <v>3.3500000000000002E-2</v>
      </c>
      <c r="E56" s="9">
        <v>3.3500000000000002E-2</v>
      </c>
      <c r="F56" s="9">
        <v>0.44840000000000002</v>
      </c>
      <c r="G56" s="9">
        <v>0.4446</v>
      </c>
      <c r="H56" s="9">
        <v>0.45019999999999999</v>
      </c>
      <c r="I56" s="9">
        <v>0.4148</v>
      </c>
      <c r="J56" s="9">
        <v>12.2835</v>
      </c>
    </row>
    <row r="57" spans="3:10" ht="16" thickBot="1" x14ac:dyDescent="0.4">
      <c r="C57" s="5">
        <v>50</v>
      </c>
      <c r="D57" s="9">
        <v>3.4200000000000001E-2</v>
      </c>
      <c r="E57" s="9">
        <v>3.4200000000000001E-2</v>
      </c>
      <c r="F57" s="9">
        <v>0.45750000000000002</v>
      </c>
      <c r="G57" s="9">
        <v>0.4536</v>
      </c>
      <c r="H57" s="9">
        <v>0.45939999999999998</v>
      </c>
      <c r="I57" s="9">
        <v>0.42330000000000001</v>
      </c>
      <c r="J57" s="9">
        <v>12.5342</v>
      </c>
    </row>
    <row r="58" spans="3:10" ht="16" thickBot="1" x14ac:dyDescent="0.4">
      <c r="C58" s="5">
        <v>51</v>
      </c>
      <c r="D58" s="9">
        <v>3.49E-2</v>
      </c>
      <c r="E58" s="9">
        <v>3.49E-2</v>
      </c>
      <c r="F58" s="9">
        <v>0.4667</v>
      </c>
      <c r="G58" s="9">
        <v>0.4627</v>
      </c>
      <c r="H58" s="9">
        <v>0.46850000000000003</v>
      </c>
      <c r="I58" s="9">
        <v>0.43180000000000002</v>
      </c>
      <c r="J58" s="9">
        <v>12.7849</v>
      </c>
    </row>
    <row r="59" spans="3:10" ht="16" thickBot="1" x14ac:dyDescent="0.4">
      <c r="C59" s="5">
        <v>52</v>
      </c>
      <c r="D59" s="9">
        <v>3.56E-2</v>
      </c>
      <c r="E59" s="9">
        <v>3.56E-2</v>
      </c>
      <c r="F59" s="9">
        <v>0.4758</v>
      </c>
      <c r="G59" s="9">
        <v>0.4718</v>
      </c>
      <c r="H59" s="9">
        <v>0.47770000000000001</v>
      </c>
      <c r="I59" s="9">
        <v>0.44019999999999998</v>
      </c>
      <c r="J59" s="9">
        <v>13.035600000000001</v>
      </c>
    </row>
    <row r="60" spans="3:10" ht="16" thickBot="1" x14ac:dyDescent="0.4">
      <c r="C60" s="5">
        <v>53</v>
      </c>
      <c r="D60" s="9">
        <v>3.6299999999999999E-2</v>
      </c>
      <c r="E60" s="9">
        <v>3.6299999999999999E-2</v>
      </c>
      <c r="F60" s="9">
        <v>0.48499999999999999</v>
      </c>
      <c r="G60" s="9">
        <v>0.48089999999999999</v>
      </c>
      <c r="H60" s="9">
        <v>0.4869</v>
      </c>
      <c r="I60" s="9">
        <v>0.44869999999999999</v>
      </c>
      <c r="J60" s="9">
        <v>13.286300000000001</v>
      </c>
    </row>
    <row r="61" spans="3:10" ht="16" thickBot="1" x14ac:dyDescent="0.4">
      <c r="C61" s="5">
        <v>54</v>
      </c>
      <c r="D61" s="9">
        <v>3.6999999999999998E-2</v>
      </c>
      <c r="E61" s="9">
        <v>3.6999999999999998E-2</v>
      </c>
      <c r="F61" s="9">
        <v>0.49409999999999998</v>
      </c>
      <c r="G61" s="9">
        <v>0.4899</v>
      </c>
      <c r="H61" s="9">
        <v>0.49609999999999999</v>
      </c>
      <c r="I61" s="9">
        <v>0.4572</v>
      </c>
      <c r="J61" s="9">
        <v>13.537000000000001</v>
      </c>
    </row>
    <row r="62" spans="3:10" ht="16" thickBot="1" x14ac:dyDescent="0.4">
      <c r="C62" s="5">
        <v>55</v>
      </c>
      <c r="D62" s="9">
        <v>3.7600000000000001E-2</v>
      </c>
      <c r="E62" s="9">
        <v>3.7600000000000001E-2</v>
      </c>
      <c r="F62" s="9">
        <v>0.50329999999999997</v>
      </c>
      <c r="G62" s="9">
        <v>0.499</v>
      </c>
      <c r="H62" s="9">
        <v>0.50529999999999997</v>
      </c>
      <c r="I62" s="9">
        <v>0.46560000000000001</v>
      </c>
      <c r="J62" s="9">
        <v>13.787599999999999</v>
      </c>
    </row>
    <row r="63" spans="3:10" ht="16" thickBot="1" x14ac:dyDescent="0.4">
      <c r="C63" s="5">
        <v>56</v>
      </c>
      <c r="D63" s="9">
        <v>3.8300000000000001E-2</v>
      </c>
      <c r="E63" s="9">
        <v>3.8300000000000001E-2</v>
      </c>
      <c r="F63" s="9">
        <v>0.51239999999999997</v>
      </c>
      <c r="G63" s="9">
        <v>0.5081</v>
      </c>
      <c r="H63" s="9">
        <v>0.51449999999999996</v>
      </c>
      <c r="I63" s="9">
        <v>0.47410000000000002</v>
      </c>
      <c r="J63" s="9">
        <v>14.0383</v>
      </c>
    </row>
    <row r="64" spans="3:10" ht="16" thickBot="1" x14ac:dyDescent="0.4">
      <c r="C64" s="5">
        <v>57</v>
      </c>
      <c r="D64" s="9">
        <v>3.9E-2</v>
      </c>
      <c r="E64" s="9">
        <v>3.9E-2</v>
      </c>
      <c r="F64" s="9">
        <v>0.52159999999999995</v>
      </c>
      <c r="G64" s="9">
        <v>0.51719999999999999</v>
      </c>
      <c r="H64" s="9">
        <v>0.52370000000000005</v>
      </c>
      <c r="I64" s="9">
        <v>0.48259999999999997</v>
      </c>
      <c r="J64" s="9">
        <v>14.289</v>
      </c>
    </row>
    <row r="65" spans="3:10" ht="16" thickBot="1" x14ac:dyDescent="0.4">
      <c r="C65" s="5">
        <v>58</v>
      </c>
      <c r="D65" s="9">
        <v>3.9699999999999999E-2</v>
      </c>
      <c r="E65" s="9">
        <v>3.9699999999999999E-2</v>
      </c>
      <c r="F65" s="9">
        <v>0.53069999999999995</v>
      </c>
      <c r="G65" s="9">
        <v>0.5262</v>
      </c>
      <c r="H65" s="9">
        <v>0.53280000000000005</v>
      </c>
      <c r="I65" s="9">
        <v>0.49099999999999999</v>
      </c>
      <c r="J65" s="9">
        <v>14.5397</v>
      </c>
    </row>
    <row r="66" spans="3:10" ht="16" thickBot="1" x14ac:dyDescent="0.4">
      <c r="C66" s="5">
        <v>59</v>
      </c>
      <c r="D66" s="9">
        <v>4.0399999999999998E-2</v>
      </c>
      <c r="E66" s="9">
        <v>4.0399999999999998E-2</v>
      </c>
      <c r="F66" s="9">
        <v>0.53990000000000005</v>
      </c>
      <c r="G66" s="9">
        <v>0.5353</v>
      </c>
      <c r="H66" s="9">
        <v>0.54200000000000004</v>
      </c>
      <c r="I66" s="9">
        <v>0.4995</v>
      </c>
      <c r="J66" s="9">
        <v>14.7904</v>
      </c>
    </row>
    <row r="67" spans="3:10" ht="16" thickBot="1" x14ac:dyDescent="0.4">
      <c r="C67" s="5">
        <v>60</v>
      </c>
      <c r="D67" s="9">
        <v>4.1099999999999998E-2</v>
      </c>
      <c r="E67" s="9">
        <v>4.1099999999999998E-2</v>
      </c>
      <c r="F67" s="9">
        <v>0.54900000000000004</v>
      </c>
      <c r="G67" s="9">
        <v>0.5444</v>
      </c>
      <c r="H67" s="9">
        <v>0.55120000000000002</v>
      </c>
      <c r="I67" s="9">
        <v>0.50790000000000002</v>
      </c>
      <c r="J67" s="9">
        <v>15.0411</v>
      </c>
    </row>
  </sheetData>
  <mergeCells count="8">
    <mergeCell ref="I4:I5"/>
    <mergeCell ref="J4:J5"/>
    <mergeCell ref="C4:C6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E95B-243D-480B-A318-1755447641AA}">
  <dimension ref="C3:J67"/>
  <sheetViews>
    <sheetView workbookViewId="0">
      <selection activeCell="N8" sqref="N8"/>
    </sheetView>
  </sheetViews>
  <sheetFormatPr defaultRowHeight="14.5" x14ac:dyDescent="0.35"/>
  <cols>
    <col min="3" max="3" width="10.1796875" customWidth="1"/>
    <col min="4" max="4" width="11.1796875" customWidth="1"/>
    <col min="5" max="5" width="10.453125" customWidth="1"/>
    <col min="6" max="6" width="10.54296875" customWidth="1"/>
    <col min="7" max="7" width="10.81640625" customWidth="1"/>
    <col min="8" max="8" width="10.453125" customWidth="1"/>
    <col min="9" max="9" width="11.1796875" customWidth="1"/>
    <col min="10" max="10" width="10.54296875" customWidth="1"/>
  </cols>
  <sheetData>
    <row r="3" spans="3:10" ht="15" thickBot="1" x14ac:dyDescent="0.4"/>
    <row r="4" spans="3:10" x14ac:dyDescent="0.35">
      <c r="C4" s="68"/>
      <c r="D4" s="62" t="s">
        <v>97</v>
      </c>
      <c r="E4" s="62" t="s">
        <v>100</v>
      </c>
      <c r="F4" s="62" t="s">
        <v>99</v>
      </c>
      <c r="G4" s="62" t="s">
        <v>212</v>
      </c>
      <c r="H4" s="62" t="s">
        <v>8</v>
      </c>
      <c r="I4" s="62" t="s">
        <v>102</v>
      </c>
      <c r="J4" s="62" t="s">
        <v>104</v>
      </c>
    </row>
    <row r="5" spans="3:10" ht="15" thickBot="1" x14ac:dyDescent="0.4">
      <c r="C5" s="69"/>
      <c r="D5" s="63"/>
      <c r="E5" s="63"/>
      <c r="F5" s="63"/>
      <c r="G5" s="63"/>
      <c r="H5" s="63"/>
      <c r="I5" s="63"/>
      <c r="J5" s="63"/>
    </row>
    <row r="6" spans="3:10" ht="15.5" thickBot="1" x14ac:dyDescent="0.4">
      <c r="C6" s="70"/>
      <c r="D6" s="22" t="s">
        <v>223</v>
      </c>
      <c r="E6" s="22" t="s">
        <v>222</v>
      </c>
      <c r="F6" s="22" t="s">
        <v>221</v>
      </c>
      <c r="G6" s="22" t="s">
        <v>220</v>
      </c>
      <c r="H6" s="22" t="s">
        <v>219</v>
      </c>
      <c r="I6" s="22" t="s">
        <v>111</v>
      </c>
      <c r="J6" s="22" t="s">
        <v>113</v>
      </c>
    </row>
    <row r="7" spans="3:10" ht="16" thickBot="1" x14ac:dyDescent="0.4">
      <c r="C7" s="5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3:10" ht="16" thickBot="1" x14ac:dyDescent="0.4">
      <c r="C8" s="5">
        <v>1</v>
      </c>
      <c r="D8" s="9">
        <v>1E-4</v>
      </c>
      <c r="E8" s="9">
        <v>0</v>
      </c>
      <c r="F8" s="9">
        <v>2.0000000000000001E-4</v>
      </c>
      <c r="G8" s="9">
        <v>2.0000000000000001E-4</v>
      </c>
      <c r="H8" s="9">
        <v>2.0000000000000001E-4</v>
      </c>
      <c r="I8" s="9">
        <v>2.0000000000000001E-4</v>
      </c>
      <c r="J8" s="9">
        <v>4.1999999999999997E-3</v>
      </c>
    </row>
    <row r="9" spans="3:10" ht="16" thickBot="1" x14ac:dyDescent="0.4">
      <c r="C9" s="5">
        <v>2</v>
      </c>
      <c r="D9" s="9">
        <v>0</v>
      </c>
      <c r="E9" s="9">
        <v>0</v>
      </c>
      <c r="F9" s="9">
        <v>2.9999999999999997E-4</v>
      </c>
      <c r="G9" s="9">
        <v>2.9999999999999997E-4</v>
      </c>
      <c r="H9" s="9">
        <v>2.9999999999999997E-4</v>
      </c>
      <c r="I9" s="9">
        <v>2.9999999999999997E-4</v>
      </c>
      <c r="J9" s="9">
        <v>8.3999999999999995E-3</v>
      </c>
    </row>
    <row r="10" spans="3:10" ht="16" thickBot="1" x14ac:dyDescent="0.4">
      <c r="C10" s="5">
        <v>3</v>
      </c>
      <c r="D10" s="9">
        <v>0</v>
      </c>
      <c r="E10" s="9">
        <v>0</v>
      </c>
      <c r="F10" s="9">
        <v>5.0000000000000001E-4</v>
      </c>
      <c r="G10" s="9">
        <v>5.0000000000000001E-4</v>
      </c>
      <c r="H10" s="9">
        <v>5.9999999999999995E-4</v>
      </c>
      <c r="I10" s="9">
        <v>5.9999999999999995E-4</v>
      </c>
      <c r="J10" s="9">
        <v>1.2500000000000001E-2</v>
      </c>
    </row>
    <row r="11" spans="3:10" ht="16" thickBot="1" x14ac:dyDescent="0.4">
      <c r="C11" s="5">
        <v>4</v>
      </c>
      <c r="D11" s="9">
        <v>0</v>
      </c>
      <c r="E11" s="9">
        <v>0</v>
      </c>
      <c r="F11" s="9">
        <v>8.0000000000000004E-4</v>
      </c>
      <c r="G11" s="9">
        <v>8.0000000000000004E-4</v>
      </c>
      <c r="H11" s="9">
        <v>8.0000000000000004E-4</v>
      </c>
      <c r="I11" s="9">
        <v>6.9999999999999999E-4</v>
      </c>
      <c r="J11" s="9">
        <v>1.67E-2</v>
      </c>
    </row>
    <row r="12" spans="3:10" ht="16" thickBot="1" x14ac:dyDescent="0.4">
      <c r="C12" s="5">
        <v>5</v>
      </c>
      <c r="D12" s="9">
        <v>1E-4</v>
      </c>
      <c r="E12" s="9">
        <v>1E-4</v>
      </c>
      <c r="F12" s="9">
        <v>1E-3</v>
      </c>
      <c r="G12" s="9">
        <v>1E-3</v>
      </c>
      <c r="H12" s="9">
        <v>1E-3</v>
      </c>
      <c r="I12" s="9">
        <v>8.9999999999999998E-4</v>
      </c>
      <c r="J12" s="9">
        <v>2.0899999999999998E-2</v>
      </c>
    </row>
    <row r="13" spans="3:10" ht="16" thickBot="1" x14ac:dyDescent="0.4">
      <c r="C13" s="5">
        <v>6</v>
      </c>
      <c r="D13" s="9">
        <v>1E-4</v>
      </c>
      <c r="E13" s="9">
        <v>1E-4</v>
      </c>
      <c r="F13" s="9">
        <v>1.1000000000000001E-3</v>
      </c>
      <c r="G13" s="9">
        <v>1.1000000000000001E-3</v>
      </c>
      <c r="H13" s="9">
        <v>1.1000000000000001E-3</v>
      </c>
      <c r="I13" s="9">
        <v>1.1000000000000001E-3</v>
      </c>
      <c r="J13" s="9">
        <v>2.5100000000000001E-2</v>
      </c>
    </row>
    <row r="14" spans="3:10" ht="16" thickBot="1" x14ac:dyDescent="0.4">
      <c r="C14" s="5">
        <v>7</v>
      </c>
      <c r="D14" s="9">
        <v>1E-4</v>
      </c>
      <c r="E14" s="9">
        <v>1E-4</v>
      </c>
      <c r="F14" s="9">
        <v>1.1999999999999999E-3</v>
      </c>
      <c r="G14" s="9">
        <v>1.1999999999999999E-3</v>
      </c>
      <c r="H14" s="9">
        <v>1.1999999999999999E-3</v>
      </c>
      <c r="I14" s="9">
        <v>1.1999999999999999E-3</v>
      </c>
      <c r="J14" s="9">
        <v>2.92E-2</v>
      </c>
    </row>
    <row r="15" spans="3:10" ht="16" thickBot="1" x14ac:dyDescent="0.4">
      <c r="C15" s="5">
        <v>8</v>
      </c>
      <c r="D15" s="9">
        <v>1E-4</v>
      </c>
      <c r="E15" s="9">
        <v>1E-4</v>
      </c>
      <c r="F15" s="9">
        <v>1.4E-3</v>
      </c>
      <c r="G15" s="9">
        <v>1.4E-3</v>
      </c>
      <c r="H15" s="9">
        <v>1.4E-3</v>
      </c>
      <c r="I15" s="9">
        <v>1.2999999999999999E-3</v>
      </c>
      <c r="J15" s="9">
        <v>3.3399999999999999E-2</v>
      </c>
    </row>
    <row r="16" spans="3:10" ht="16" thickBot="1" x14ac:dyDescent="0.4">
      <c r="C16" s="5">
        <v>9</v>
      </c>
      <c r="D16" s="9">
        <v>1E-4</v>
      </c>
      <c r="E16" s="9">
        <v>1E-4</v>
      </c>
      <c r="F16" s="9">
        <v>1.5E-3</v>
      </c>
      <c r="G16" s="9">
        <v>1.5E-3</v>
      </c>
      <c r="H16" s="9">
        <v>1.5E-3</v>
      </c>
      <c r="I16" s="9">
        <v>1.6000000000000001E-3</v>
      </c>
      <c r="J16" s="9">
        <v>3.7600000000000001E-2</v>
      </c>
    </row>
    <row r="17" spans="3:10" ht="16" thickBot="1" x14ac:dyDescent="0.4">
      <c r="C17" s="5">
        <v>10</v>
      </c>
      <c r="D17" s="9">
        <v>1E-4</v>
      </c>
      <c r="E17" s="9">
        <v>1E-4</v>
      </c>
      <c r="F17" s="9">
        <v>1.5E-3</v>
      </c>
      <c r="G17" s="9">
        <v>1.5E-3</v>
      </c>
      <c r="H17" s="9">
        <v>1.5E-3</v>
      </c>
      <c r="I17" s="9">
        <v>1.6999999999999999E-3</v>
      </c>
      <c r="J17" s="9">
        <v>4.1799999999999997E-2</v>
      </c>
    </row>
    <row r="18" spans="3:10" ht="16" thickBot="1" x14ac:dyDescent="0.4">
      <c r="C18" s="5">
        <v>11</v>
      </c>
      <c r="D18" s="9">
        <v>1E-4</v>
      </c>
      <c r="E18" s="9">
        <v>1E-4</v>
      </c>
      <c r="F18" s="9">
        <v>1.6999999999999999E-3</v>
      </c>
      <c r="G18" s="9">
        <v>1.6999999999999999E-3</v>
      </c>
      <c r="H18" s="9">
        <v>1.6999999999999999E-3</v>
      </c>
      <c r="I18" s="9">
        <v>1.6999999999999999E-3</v>
      </c>
      <c r="J18" s="9">
        <v>4.5999999999999999E-2</v>
      </c>
    </row>
    <row r="19" spans="3:10" ht="16" thickBot="1" x14ac:dyDescent="0.4">
      <c r="C19" s="5">
        <v>12</v>
      </c>
      <c r="D19" s="9">
        <v>1E-4</v>
      </c>
      <c r="E19" s="9">
        <v>1E-4</v>
      </c>
      <c r="F19" s="9">
        <v>1.8E-3</v>
      </c>
      <c r="G19" s="9">
        <v>1.8E-3</v>
      </c>
      <c r="H19" s="9">
        <v>1.8E-3</v>
      </c>
      <c r="I19" s="9">
        <v>1.8E-3</v>
      </c>
      <c r="J19" s="9">
        <v>5.0099999999999999E-2</v>
      </c>
    </row>
    <row r="20" spans="3:10" ht="16" thickBot="1" x14ac:dyDescent="0.4">
      <c r="C20" s="5">
        <v>13</v>
      </c>
      <c r="D20" s="9">
        <v>1E-4</v>
      </c>
      <c r="E20" s="9">
        <v>1E-4</v>
      </c>
      <c r="F20" s="9">
        <v>2E-3</v>
      </c>
      <c r="G20" s="9">
        <v>2E-3</v>
      </c>
      <c r="H20" s="9">
        <v>2E-3</v>
      </c>
      <c r="I20" s="9">
        <v>2E-3</v>
      </c>
      <c r="J20" s="9">
        <v>5.4300000000000001E-2</v>
      </c>
    </row>
    <row r="21" spans="3:10" ht="16" thickBot="1" x14ac:dyDescent="0.4">
      <c r="C21" s="5">
        <v>14</v>
      </c>
      <c r="D21" s="9">
        <v>2.0000000000000001E-4</v>
      </c>
      <c r="E21" s="9">
        <v>2.0000000000000001E-4</v>
      </c>
      <c r="F21" s="9">
        <v>2.0999999999999999E-3</v>
      </c>
      <c r="G21" s="9">
        <v>2.0999999999999999E-3</v>
      </c>
      <c r="H21" s="9">
        <v>2.0999999999999999E-3</v>
      </c>
      <c r="I21" s="9">
        <v>2.0999999999999999E-3</v>
      </c>
      <c r="J21" s="9">
        <v>5.8500000000000003E-2</v>
      </c>
    </row>
    <row r="22" spans="3:10" ht="16" thickBot="1" x14ac:dyDescent="0.4">
      <c r="C22" s="5">
        <v>15</v>
      </c>
      <c r="D22" s="9">
        <v>2.0000000000000001E-4</v>
      </c>
      <c r="E22" s="9">
        <v>2.0000000000000001E-4</v>
      </c>
      <c r="F22" s="9">
        <v>2.3E-3</v>
      </c>
      <c r="G22" s="9">
        <v>2.3E-3</v>
      </c>
      <c r="H22" s="9">
        <v>2.3E-3</v>
      </c>
      <c r="I22" s="9">
        <v>2.3E-3</v>
      </c>
      <c r="J22" s="9">
        <v>6.2700000000000006E-2</v>
      </c>
    </row>
    <row r="23" spans="3:10" ht="16" thickBot="1" x14ac:dyDescent="0.4">
      <c r="C23" s="5">
        <v>16</v>
      </c>
      <c r="D23" s="9">
        <v>2.0000000000000001E-4</v>
      </c>
      <c r="E23" s="9">
        <v>2.0000000000000001E-4</v>
      </c>
      <c r="F23" s="9">
        <v>2.5999999999999999E-3</v>
      </c>
      <c r="G23" s="9">
        <v>2.5999999999999999E-3</v>
      </c>
      <c r="H23" s="9">
        <v>2.5999999999999999E-3</v>
      </c>
      <c r="I23" s="9">
        <v>2.3999999999999998E-3</v>
      </c>
      <c r="J23" s="9">
        <v>6.6900000000000001E-2</v>
      </c>
    </row>
    <row r="24" spans="3:10" ht="16" thickBot="1" x14ac:dyDescent="0.4">
      <c r="C24" s="5">
        <v>17</v>
      </c>
      <c r="D24" s="9">
        <v>2.0000000000000001E-4</v>
      </c>
      <c r="E24" s="9">
        <v>2.0000000000000001E-4</v>
      </c>
      <c r="F24" s="9">
        <v>2.7000000000000001E-3</v>
      </c>
      <c r="G24" s="9">
        <v>2.7000000000000001E-3</v>
      </c>
      <c r="H24" s="9">
        <v>2.8E-3</v>
      </c>
      <c r="I24" s="9">
        <v>2.5000000000000001E-3</v>
      </c>
      <c r="J24" s="9">
        <v>7.0999999999999994E-2</v>
      </c>
    </row>
    <row r="25" spans="3:10" ht="16" thickBot="1" x14ac:dyDescent="0.4">
      <c r="C25" s="5">
        <v>18</v>
      </c>
      <c r="D25" s="9">
        <v>2.0000000000000001E-4</v>
      </c>
      <c r="E25" s="9">
        <v>2.0000000000000001E-4</v>
      </c>
      <c r="F25" s="9">
        <v>2.8999999999999998E-3</v>
      </c>
      <c r="G25" s="9">
        <v>2.8999999999999998E-3</v>
      </c>
      <c r="H25" s="9">
        <v>2.8999999999999998E-3</v>
      </c>
      <c r="I25" s="9">
        <v>2.7000000000000001E-3</v>
      </c>
      <c r="J25" s="9">
        <v>7.5200000000000003E-2</v>
      </c>
    </row>
    <row r="26" spans="3:10" ht="16" thickBot="1" x14ac:dyDescent="0.4">
      <c r="C26" s="5">
        <v>19</v>
      </c>
      <c r="D26" s="9">
        <v>2.0000000000000001E-4</v>
      </c>
      <c r="E26" s="9">
        <v>2.0000000000000001E-4</v>
      </c>
      <c r="F26" s="9">
        <v>2.8999999999999998E-3</v>
      </c>
      <c r="G26" s="9">
        <v>2.8999999999999998E-3</v>
      </c>
      <c r="H26" s="9">
        <v>2.8999999999999998E-3</v>
      </c>
      <c r="I26" s="9">
        <v>2.8E-3</v>
      </c>
      <c r="J26" s="9">
        <v>7.9399999999999998E-2</v>
      </c>
    </row>
    <row r="27" spans="3:10" ht="16" thickBot="1" x14ac:dyDescent="0.4">
      <c r="C27" s="5">
        <v>20</v>
      </c>
      <c r="D27" s="9">
        <v>2.0000000000000001E-4</v>
      </c>
      <c r="E27" s="9">
        <v>2.0000000000000001E-4</v>
      </c>
      <c r="F27" s="9">
        <v>3.0999999999999999E-3</v>
      </c>
      <c r="G27" s="9">
        <v>3.0999999999999999E-3</v>
      </c>
      <c r="H27" s="9">
        <v>3.2000000000000002E-3</v>
      </c>
      <c r="I27" s="9">
        <v>2.8999999999999998E-3</v>
      </c>
      <c r="J27" s="9">
        <v>8.3599999999999994E-2</v>
      </c>
    </row>
    <row r="28" spans="3:10" ht="16" thickBot="1" x14ac:dyDescent="0.4">
      <c r="C28" s="5">
        <v>21</v>
      </c>
      <c r="D28" s="9">
        <v>2.0000000000000001E-4</v>
      </c>
      <c r="E28" s="9">
        <v>2.9999999999999997E-4</v>
      </c>
      <c r="F28" s="9">
        <v>3.2000000000000002E-3</v>
      </c>
      <c r="G28" s="9">
        <v>3.2000000000000002E-3</v>
      </c>
      <c r="H28" s="9">
        <v>3.2000000000000002E-3</v>
      </c>
      <c r="I28" s="9">
        <v>3.0999999999999999E-3</v>
      </c>
      <c r="J28" s="9">
        <v>8.77E-2</v>
      </c>
    </row>
    <row r="29" spans="3:10" ht="16" thickBot="1" x14ac:dyDescent="0.4">
      <c r="C29" s="5">
        <v>22</v>
      </c>
      <c r="D29" s="9">
        <v>2.9999999999999997E-4</v>
      </c>
      <c r="E29" s="9">
        <v>2.9999999999999997E-4</v>
      </c>
      <c r="F29" s="9">
        <v>3.3999999999999998E-3</v>
      </c>
      <c r="G29" s="9">
        <v>3.3999999999999998E-3</v>
      </c>
      <c r="H29" s="9">
        <v>3.3E-3</v>
      </c>
      <c r="I29" s="9">
        <v>3.0999999999999999E-3</v>
      </c>
      <c r="J29" s="9">
        <v>9.1899999999999996E-2</v>
      </c>
    </row>
    <row r="30" spans="3:10" ht="16" thickBot="1" x14ac:dyDescent="0.4">
      <c r="C30" s="5">
        <v>23</v>
      </c>
      <c r="D30" s="9">
        <v>2.9999999999999997E-4</v>
      </c>
      <c r="E30" s="9">
        <v>2.9999999999999997E-4</v>
      </c>
      <c r="F30" s="9">
        <v>3.5000000000000001E-3</v>
      </c>
      <c r="G30" s="9">
        <v>3.5000000000000001E-3</v>
      </c>
      <c r="H30" s="9">
        <v>3.3999999999999998E-3</v>
      </c>
      <c r="I30" s="9">
        <v>3.2000000000000002E-3</v>
      </c>
      <c r="J30" s="9">
        <v>9.6100000000000005E-2</v>
      </c>
    </row>
    <row r="31" spans="3:10" ht="16" thickBot="1" x14ac:dyDescent="0.4">
      <c r="C31" s="5">
        <v>24</v>
      </c>
      <c r="D31" s="9">
        <v>2.9999999999999997E-4</v>
      </c>
      <c r="E31" s="9">
        <v>2.9999999999999997E-4</v>
      </c>
      <c r="F31" s="9">
        <v>3.7000000000000002E-3</v>
      </c>
      <c r="G31" s="9">
        <v>3.7000000000000002E-3</v>
      </c>
      <c r="H31" s="9">
        <v>3.5999999999999999E-3</v>
      </c>
      <c r="I31" s="9">
        <v>3.3999999999999998E-3</v>
      </c>
      <c r="J31" s="9">
        <v>0.1003</v>
      </c>
    </row>
    <row r="32" spans="3:10" ht="16" thickBot="1" x14ac:dyDescent="0.4">
      <c r="C32" s="5">
        <v>25</v>
      </c>
      <c r="D32" s="9">
        <v>2.9999999999999997E-4</v>
      </c>
      <c r="E32" s="9">
        <v>2.9999999999999997E-4</v>
      </c>
      <c r="F32" s="9">
        <v>3.8E-3</v>
      </c>
      <c r="G32" s="9">
        <v>3.8E-3</v>
      </c>
      <c r="H32" s="9">
        <v>3.8E-3</v>
      </c>
      <c r="I32" s="9">
        <v>3.5000000000000001E-3</v>
      </c>
      <c r="J32" s="9">
        <v>0.1045</v>
      </c>
    </row>
    <row r="33" spans="3:10" ht="16" thickBot="1" x14ac:dyDescent="0.4">
      <c r="C33" s="5">
        <v>26</v>
      </c>
      <c r="D33" s="9">
        <v>2.9999999999999997E-4</v>
      </c>
      <c r="E33" s="9">
        <v>2.9999999999999997E-4</v>
      </c>
      <c r="F33" s="9">
        <v>4.0000000000000001E-3</v>
      </c>
      <c r="G33" s="9">
        <v>4.0000000000000001E-3</v>
      </c>
      <c r="H33" s="9">
        <v>3.8999999999999998E-3</v>
      </c>
      <c r="I33" s="9">
        <v>3.7000000000000002E-3</v>
      </c>
      <c r="J33" s="9">
        <v>0.1086</v>
      </c>
    </row>
    <row r="34" spans="3:10" ht="16" thickBot="1" x14ac:dyDescent="0.4">
      <c r="C34" s="5">
        <v>27</v>
      </c>
      <c r="D34" s="9">
        <v>2.9999999999999997E-4</v>
      </c>
      <c r="E34" s="9">
        <v>2.9999999999999997E-4</v>
      </c>
      <c r="F34" s="9">
        <v>4.1000000000000003E-3</v>
      </c>
      <c r="G34" s="9">
        <v>4.1000000000000003E-3</v>
      </c>
      <c r="H34" s="9">
        <v>4.1000000000000003E-3</v>
      </c>
      <c r="I34" s="9">
        <v>3.8E-3</v>
      </c>
      <c r="J34" s="9">
        <v>0.1128</v>
      </c>
    </row>
    <row r="35" spans="3:10" ht="16" thickBot="1" x14ac:dyDescent="0.4">
      <c r="C35" s="5">
        <v>28</v>
      </c>
      <c r="D35" s="9">
        <v>2.9999999999999997E-4</v>
      </c>
      <c r="E35" s="9">
        <v>2.9999999999999997E-4</v>
      </c>
      <c r="F35" s="9">
        <v>4.3E-3</v>
      </c>
      <c r="G35" s="9">
        <v>4.3E-3</v>
      </c>
      <c r="H35" s="9">
        <v>4.1999999999999997E-3</v>
      </c>
      <c r="I35" s="9">
        <v>4.0000000000000001E-3</v>
      </c>
      <c r="J35" s="9">
        <v>0.11700000000000001</v>
      </c>
    </row>
    <row r="36" spans="3:10" ht="16" thickBot="1" x14ac:dyDescent="0.4">
      <c r="C36" s="5">
        <v>29</v>
      </c>
      <c r="D36" s="9">
        <v>2.9999999999999997E-4</v>
      </c>
      <c r="E36" s="9">
        <v>2.9999999999999997E-4</v>
      </c>
      <c r="F36" s="9">
        <v>4.4000000000000003E-3</v>
      </c>
      <c r="G36" s="9">
        <v>4.4000000000000003E-3</v>
      </c>
      <c r="H36" s="9">
        <v>4.4000000000000003E-3</v>
      </c>
      <c r="I36" s="9">
        <v>4.1000000000000003E-3</v>
      </c>
      <c r="J36" s="9">
        <v>0.1212</v>
      </c>
    </row>
    <row r="37" spans="3:10" ht="16" thickBot="1" x14ac:dyDescent="0.4">
      <c r="C37" s="5">
        <v>30</v>
      </c>
      <c r="D37" s="9">
        <v>2.9999999999999997E-4</v>
      </c>
      <c r="E37" s="9">
        <v>2.9999999999999997E-4</v>
      </c>
      <c r="F37" s="9">
        <v>4.5999999999999999E-3</v>
      </c>
      <c r="G37" s="9">
        <v>4.4999999999999997E-3</v>
      </c>
      <c r="H37" s="9">
        <v>4.4999999999999997E-3</v>
      </c>
      <c r="I37" s="9">
        <v>4.1999999999999997E-3</v>
      </c>
      <c r="J37" s="9">
        <v>0.12529999999999999</v>
      </c>
    </row>
    <row r="38" spans="3:10" ht="16" thickBot="1" x14ac:dyDescent="0.4">
      <c r="C38" s="5">
        <v>31</v>
      </c>
      <c r="D38" s="5">
        <v>4.0000000000000002E-4</v>
      </c>
      <c r="E38" s="5">
        <v>4.0000000000000002E-4</v>
      </c>
      <c r="F38" s="5">
        <v>4.7000000000000002E-3</v>
      </c>
      <c r="G38" s="5">
        <v>4.7000000000000002E-3</v>
      </c>
      <c r="H38" s="5" t="s">
        <v>218</v>
      </c>
      <c r="I38" s="5" t="s">
        <v>217</v>
      </c>
      <c r="J38" s="5" t="s">
        <v>216</v>
      </c>
    </row>
    <row r="39" spans="3:10" ht="16" thickBot="1" x14ac:dyDescent="0.4">
      <c r="C39" s="5">
        <v>32</v>
      </c>
      <c r="D39" s="5">
        <v>4.0000000000000002E-4</v>
      </c>
      <c r="E39" s="5">
        <v>4.0000000000000002E-4</v>
      </c>
      <c r="F39" s="5">
        <v>4.8999999999999998E-3</v>
      </c>
      <c r="G39" s="5">
        <v>4.7999999999999996E-3</v>
      </c>
      <c r="H39" s="5">
        <v>4.8999999999999998E-3</v>
      </c>
      <c r="I39" s="5">
        <v>4.4999999999999997E-3</v>
      </c>
      <c r="J39" s="5">
        <v>0.13370000000000001</v>
      </c>
    </row>
    <row r="40" spans="3:10" ht="16" thickBot="1" x14ac:dyDescent="0.4">
      <c r="C40" s="5">
        <v>33</v>
      </c>
      <c r="D40" s="5">
        <v>4.0000000000000002E-4</v>
      </c>
      <c r="E40" s="5">
        <v>4.0000000000000002E-4</v>
      </c>
      <c r="F40" s="9">
        <v>5.0000000000000001E-3</v>
      </c>
      <c r="G40" s="5" t="s">
        <v>215</v>
      </c>
      <c r="H40" s="5">
        <v>5.1000000000000004E-3</v>
      </c>
      <c r="I40" s="5">
        <v>4.7000000000000002E-3</v>
      </c>
      <c r="J40" s="5">
        <v>0.13789999999999999</v>
      </c>
    </row>
    <row r="41" spans="3:10" ht="16" thickBot="1" x14ac:dyDescent="0.4">
      <c r="C41" s="5">
        <v>34</v>
      </c>
      <c r="D41" s="5">
        <v>4.0000000000000002E-4</v>
      </c>
      <c r="E41" s="5">
        <v>4.0000000000000002E-4</v>
      </c>
      <c r="F41" s="5">
        <v>5.1999999999999998E-3</v>
      </c>
      <c r="G41" s="5">
        <v>5.1000000000000004E-3</v>
      </c>
      <c r="H41" s="5">
        <v>5.1999999999999998E-3</v>
      </c>
      <c r="I41" s="5">
        <v>4.7999999999999996E-3</v>
      </c>
      <c r="J41" s="5">
        <v>0.1421</v>
      </c>
    </row>
    <row r="42" spans="3:10" ht="16" thickBot="1" x14ac:dyDescent="0.4">
      <c r="C42" s="5">
        <v>35</v>
      </c>
      <c r="D42" s="5">
        <v>4.0000000000000002E-4</v>
      </c>
      <c r="E42" s="5">
        <v>4.0000000000000002E-4</v>
      </c>
      <c r="F42" s="5">
        <v>5.3E-3</v>
      </c>
      <c r="G42" s="5">
        <v>5.3E-3</v>
      </c>
      <c r="H42" s="5">
        <v>5.4000000000000003E-3</v>
      </c>
      <c r="I42" s="5">
        <v>4.8999999999999998E-3</v>
      </c>
      <c r="J42" s="5">
        <v>0.1462</v>
      </c>
    </row>
    <row r="43" spans="3:10" ht="16" thickBot="1" x14ac:dyDescent="0.4">
      <c r="C43" s="5">
        <v>36</v>
      </c>
      <c r="D43" s="5">
        <v>4.0000000000000002E-4</v>
      </c>
      <c r="E43" s="5">
        <v>4.0000000000000002E-4</v>
      </c>
      <c r="F43" s="5">
        <v>5.4999999999999997E-3</v>
      </c>
      <c r="G43" s="5">
        <v>5.4000000000000003E-3</v>
      </c>
      <c r="H43" s="5">
        <v>5.4999999999999997E-3</v>
      </c>
      <c r="I43" s="5">
        <v>5.1000000000000004E-3</v>
      </c>
      <c r="J43" s="5">
        <v>0.15040000000000001</v>
      </c>
    </row>
    <row r="44" spans="3:10" ht="16" thickBot="1" x14ac:dyDescent="0.4">
      <c r="C44" s="5">
        <v>37</v>
      </c>
      <c r="D44" s="5">
        <v>4.0000000000000002E-4</v>
      </c>
      <c r="E44" s="5">
        <v>4.0000000000000002E-4</v>
      </c>
      <c r="F44" s="5" t="s">
        <v>214</v>
      </c>
      <c r="G44" s="5">
        <v>5.5999999999999999E-3</v>
      </c>
      <c r="H44" s="5">
        <v>5.7000000000000002E-3</v>
      </c>
      <c r="I44" s="5">
        <v>5.1999999999999998E-3</v>
      </c>
      <c r="J44" s="5">
        <v>0.15459999999999999</v>
      </c>
    </row>
    <row r="45" spans="3:10" ht="16" thickBot="1" x14ac:dyDescent="0.4">
      <c r="C45" s="5">
        <v>38</v>
      </c>
      <c r="D45" s="5">
        <v>4.0000000000000002E-4</v>
      </c>
      <c r="E45" s="5">
        <v>4.0000000000000002E-4</v>
      </c>
      <c r="F45" s="5" t="s">
        <v>213</v>
      </c>
      <c r="G45" s="5">
        <v>5.7000000000000002E-3</v>
      </c>
      <c r="H45" s="5">
        <v>5.7999999999999996E-3</v>
      </c>
      <c r="I45" s="5">
        <v>5.4000000000000003E-3</v>
      </c>
      <c r="J45" s="5">
        <v>0.1588</v>
      </c>
    </row>
    <row r="46" spans="3:10" ht="16" thickBot="1" x14ac:dyDescent="0.4">
      <c r="C46" s="5">
        <v>39</v>
      </c>
      <c r="D46" s="5">
        <v>4.0000000000000002E-4</v>
      </c>
      <c r="E46" s="5">
        <v>4.0000000000000002E-4</v>
      </c>
      <c r="F46" s="5">
        <v>5.8999999999999999E-3</v>
      </c>
      <c r="G46" s="24">
        <v>5.8999999999999999E-3</v>
      </c>
      <c r="H46" s="24">
        <v>6.0000000000000001E-3</v>
      </c>
      <c r="I46" s="24">
        <v>5.4999999999999997E-3</v>
      </c>
      <c r="J46" s="5">
        <v>0.16289999999999999</v>
      </c>
    </row>
    <row r="47" spans="3:10" ht="16" thickBot="1" x14ac:dyDescent="0.4">
      <c r="C47" s="5">
        <v>40</v>
      </c>
      <c r="D47" s="5">
        <v>5.0000000000000001E-4</v>
      </c>
      <c r="E47" s="5">
        <v>5.0000000000000001E-4</v>
      </c>
      <c r="F47" s="24">
        <v>6.1000000000000004E-3</v>
      </c>
      <c r="G47" s="24">
        <v>6.0000000000000001E-3</v>
      </c>
      <c r="H47" s="24">
        <v>6.1000000000000004E-3</v>
      </c>
      <c r="I47" s="24">
        <v>5.5999999999999999E-3</v>
      </c>
      <c r="J47" s="5">
        <v>0.1671</v>
      </c>
    </row>
    <row r="48" spans="3:10" ht="16" thickBot="1" x14ac:dyDescent="0.4">
      <c r="C48" s="5">
        <v>41</v>
      </c>
      <c r="D48" s="5">
        <v>5.0000000000000001E-4</v>
      </c>
      <c r="E48" s="5">
        <v>5.0000000000000001E-4</v>
      </c>
      <c r="F48" s="24">
        <v>6.3E-3</v>
      </c>
      <c r="G48" s="24">
        <v>6.1999999999999998E-3</v>
      </c>
      <c r="H48" s="24">
        <v>6.3E-3</v>
      </c>
      <c r="I48" s="24">
        <v>5.7999999999999996E-3</v>
      </c>
      <c r="J48" s="5">
        <v>0.17130000000000001</v>
      </c>
    </row>
    <row r="49" spans="3:10" ht="16" thickBot="1" x14ac:dyDescent="0.4">
      <c r="C49" s="5">
        <v>42</v>
      </c>
      <c r="D49" s="24">
        <v>5.0000000000000001E-4</v>
      </c>
      <c r="E49" s="24">
        <v>5.0000000000000001E-4</v>
      </c>
      <c r="F49" s="5">
        <v>6.4000000000000003E-3</v>
      </c>
      <c r="G49" s="5">
        <v>6.4000000000000003E-3</v>
      </c>
      <c r="H49" s="5">
        <v>6.4000000000000003E-3</v>
      </c>
      <c r="I49" s="5">
        <v>5.8999999999999999E-3</v>
      </c>
      <c r="J49" s="5">
        <v>0.17549999999999999</v>
      </c>
    </row>
    <row r="50" spans="3:10" ht="16" thickBot="1" x14ac:dyDescent="0.4">
      <c r="C50" s="5">
        <v>43</v>
      </c>
      <c r="D50" s="24">
        <v>5.0000000000000001E-4</v>
      </c>
      <c r="E50" s="24">
        <v>5.0000000000000001E-4</v>
      </c>
      <c r="F50" s="24">
        <v>6.6E-3</v>
      </c>
      <c r="G50" s="24">
        <v>6.4999999999999997E-3</v>
      </c>
      <c r="H50" s="24">
        <v>6.6E-3</v>
      </c>
      <c r="I50" s="24">
        <v>6.1000000000000004E-3</v>
      </c>
      <c r="J50" s="5">
        <v>0.1797</v>
      </c>
    </row>
    <row r="51" spans="3:10" ht="16" thickBot="1" x14ac:dyDescent="0.4">
      <c r="C51" s="5">
        <v>44</v>
      </c>
      <c r="D51" s="24">
        <v>5.0000000000000001E-4</v>
      </c>
      <c r="E51" s="24">
        <v>5.0000000000000001E-4</v>
      </c>
      <c r="F51" s="24">
        <v>6.7000000000000002E-3</v>
      </c>
      <c r="G51" s="24">
        <v>6.7000000000000002E-3</v>
      </c>
      <c r="H51" s="24">
        <v>6.7000000000000002E-3</v>
      </c>
      <c r="I51" s="24">
        <v>6.1999999999999998E-3</v>
      </c>
      <c r="J51" s="5">
        <v>0.18379999999999999</v>
      </c>
    </row>
    <row r="52" spans="3:10" ht="16" thickBot="1" x14ac:dyDescent="0.4">
      <c r="C52" s="5">
        <v>45</v>
      </c>
      <c r="D52" s="24">
        <v>5.0000000000000001E-4</v>
      </c>
      <c r="E52" s="24">
        <v>5.0000000000000001E-4</v>
      </c>
      <c r="F52" s="24">
        <v>6.8999999999999999E-3</v>
      </c>
      <c r="G52" s="24">
        <v>6.7999999999999996E-3</v>
      </c>
      <c r="H52" s="24">
        <v>6.8999999999999999E-3</v>
      </c>
      <c r="I52" s="24">
        <v>6.3E-3</v>
      </c>
      <c r="J52" s="9">
        <v>0.188</v>
      </c>
    </row>
    <row r="53" spans="3:10" ht="16" thickBot="1" x14ac:dyDescent="0.4">
      <c r="C53" s="5">
        <v>46</v>
      </c>
      <c r="D53" s="24">
        <v>5.0000000000000001E-4</v>
      </c>
      <c r="E53" s="24">
        <v>5.0000000000000001E-4</v>
      </c>
      <c r="F53" s="24">
        <v>7.0000000000000001E-3</v>
      </c>
      <c r="G53" s="24">
        <v>7.0000000000000001E-3</v>
      </c>
      <c r="H53" s="24">
        <v>7.0000000000000001E-3</v>
      </c>
      <c r="I53" s="24">
        <v>6.4999999999999997E-3</v>
      </c>
      <c r="J53" s="5">
        <v>0.19220000000000001</v>
      </c>
    </row>
    <row r="54" spans="3:10" ht="16" thickBot="1" x14ac:dyDescent="0.4">
      <c r="C54" s="5">
        <v>47</v>
      </c>
      <c r="D54" s="24">
        <v>5.0000000000000001E-4</v>
      </c>
      <c r="E54" s="24">
        <v>5.0000000000000001E-4</v>
      </c>
      <c r="F54" s="24">
        <v>7.1999999999999998E-3</v>
      </c>
      <c r="G54" s="24">
        <v>7.1000000000000004E-3</v>
      </c>
      <c r="H54" s="24">
        <v>7.1999999999999998E-3</v>
      </c>
      <c r="I54" s="24">
        <v>6.6E-3</v>
      </c>
      <c r="J54" s="5">
        <v>0.19639999999999999</v>
      </c>
    </row>
    <row r="55" spans="3:10" ht="16" thickBot="1" x14ac:dyDescent="0.4">
      <c r="C55" s="5">
        <v>48</v>
      </c>
      <c r="D55" s="24">
        <v>5.0000000000000001E-4</v>
      </c>
      <c r="E55" s="24">
        <v>5.0000000000000001E-4</v>
      </c>
      <c r="F55" s="24">
        <v>7.3000000000000001E-3</v>
      </c>
      <c r="G55" s="24">
        <v>7.3000000000000001E-3</v>
      </c>
      <c r="H55" s="24">
        <v>7.3000000000000001E-3</v>
      </c>
      <c r="I55" s="24">
        <v>6.7999999999999996E-3</v>
      </c>
      <c r="J55" s="5">
        <v>0.20050000000000001</v>
      </c>
    </row>
    <row r="56" spans="3:10" ht="16" thickBot="1" x14ac:dyDescent="0.4">
      <c r="C56" s="5">
        <v>49</v>
      </c>
      <c r="D56" s="5">
        <v>5.9999999999999995E-4</v>
      </c>
      <c r="E56" s="5">
        <v>5.9999999999999995E-4</v>
      </c>
      <c r="F56" s="24">
        <v>7.4999999999999997E-3</v>
      </c>
      <c r="G56" s="24">
        <v>7.4000000000000003E-3</v>
      </c>
      <c r="H56" s="24">
        <v>7.4999999999999997E-3</v>
      </c>
      <c r="I56" s="24">
        <v>6.8999999999999999E-3</v>
      </c>
      <c r="J56" s="5">
        <v>0.20469999999999999</v>
      </c>
    </row>
    <row r="57" spans="3:10" ht="16" thickBot="1" x14ac:dyDescent="0.4">
      <c r="C57" s="5">
        <v>50</v>
      </c>
      <c r="D57" s="5">
        <v>5.9999999999999995E-4</v>
      </c>
      <c r="E57" s="5">
        <v>5.9999999999999995E-4</v>
      </c>
      <c r="F57" s="24">
        <v>7.6E-3</v>
      </c>
      <c r="G57" s="5">
        <v>7.6E-3</v>
      </c>
      <c r="H57" s="5">
        <v>7.7000000000000002E-3</v>
      </c>
      <c r="I57" s="5">
        <v>7.1000000000000004E-3</v>
      </c>
      <c r="J57" s="5">
        <v>0.2089</v>
      </c>
    </row>
    <row r="58" spans="3:10" ht="16" thickBot="1" x14ac:dyDescent="0.4">
      <c r="C58" s="5">
        <v>51</v>
      </c>
      <c r="D58" s="5">
        <v>5.9999999999999995E-4</v>
      </c>
      <c r="E58" s="5">
        <v>5.9999999999999995E-4</v>
      </c>
      <c r="F58" s="5">
        <v>7.7999999999999996E-3</v>
      </c>
      <c r="G58" s="5">
        <v>7.7000000000000002E-3</v>
      </c>
      <c r="H58" s="5">
        <v>7.7999999999999996E-3</v>
      </c>
      <c r="I58" s="5">
        <v>7.1999999999999998E-3</v>
      </c>
      <c r="J58" s="5">
        <v>0.21310000000000001</v>
      </c>
    </row>
    <row r="59" spans="3:10" ht="16" thickBot="1" x14ac:dyDescent="0.4">
      <c r="C59" s="5">
        <v>52</v>
      </c>
      <c r="D59" s="5">
        <v>5.9999999999999995E-4</v>
      </c>
      <c r="E59" s="5">
        <v>5.9999999999999995E-4</v>
      </c>
      <c r="F59" s="5">
        <v>7.9000000000000008E-3</v>
      </c>
      <c r="G59" s="5">
        <v>7.9000000000000008E-3</v>
      </c>
      <c r="H59" s="9">
        <v>8.0000000000000002E-3</v>
      </c>
      <c r="I59" s="5">
        <v>7.3000000000000001E-3</v>
      </c>
      <c r="J59" s="5">
        <v>0.21729999999999999</v>
      </c>
    </row>
    <row r="60" spans="3:10" ht="16" thickBot="1" x14ac:dyDescent="0.4">
      <c r="C60" s="5">
        <v>53</v>
      </c>
      <c r="D60" s="5">
        <v>5.9999999999999995E-4</v>
      </c>
      <c r="E60" s="5">
        <v>5.9999999999999995E-4</v>
      </c>
      <c r="F60" s="5">
        <v>8.0999999999999996E-3</v>
      </c>
      <c r="G60" s="5">
        <v>8.0000000000000002E-3</v>
      </c>
      <c r="H60" s="5">
        <v>8.0999999999999996E-3</v>
      </c>
      <c r="I60" s="5">
        <v>7.4999999999999997E-3</v>
      </c>
      <c r="J60" s="5">
        <v>0.22140000000000001</v>
      </c>
    </row>
    <row r="61" spans="3:10" ht="16" thickBot="1" x14ac:dyDescent="0.4">
      <c r="C61" s="5">
        <v>54</v>
      </c>
      <c r="D61" s="5">
        <v>5.9999999999999995E-4</v>
      </c>
      <c r="E61" s="5">
        <v>5.9999999999999995E-4</v>
      </c>
      <c r="F61" s="5">
        <v>8.2000000000000007E-3</v>
      </c>
      <c r="G61" s="5">
        <v>8.2000000000000007E-3</v>
      </c>
      <c r="H61" s="5">
        <v>8.3000000000000001E-3</v>
      </c>
      <c r="I61" s="5">
        <v>7.6E-3</v>
      </c>
      <c r="J61" s="5">
        <v>0.22559999999999999</v>
      </c>
    </row>
    <row r="62" spans="3:10" ht="16" thickBot="1" x14ac:dyDescent="0.4">
      <c r="C62" s="5">
        <v>55</v>
      </c>
      <c r="D62" s="5">
        <v>5.9999999999999995E-4</v>
      </c>
      <c r="E62" s="5">
        <v>5.9999999999999995E-4</v>
      </c>
      <c r="F62" s="5">
        <v>8.3999999999999995E-3</v>
      </c>
      <c r="G62" s="5">
        <v>8.3000000000000001E-3</v>
      </c>
      <c r="H62" s="5">
        <v>8.3999999999999995E-3</v>
      </c>
      <c r="I62" s="5">
        <v>7.7999999999999996E-3</v>
      </c>
      <c r="J62" s="5">
        <v>0.2298</v>
      </c>
    </row>
    <row r="63" spans="3:10" ht="16" thickBot="1" x14ac:dyDescent="0.4">
      <c r="C63" s="5">
        <v>56</v>
      </c>
      <c r="D63" s="5">
        <v>5.9999999999999995E-4</v>
      </c>
      <c r="E63" s="5">
        <v>5.9999999999999995E-4</v>
      </c>
      <c r="F63" s="5">
        <v>8.5000000000000006E-3</v>
      </c>
      <c r="G63" s="5">
        <v>8.5000000000000006E-3</v>
      </c>
      <c r="H63" s="5">
        <v>8.6E-3</v>
      </c>
      <c r="I63" s="5">
        <v>7.9000000000000008E-3</v>
      </c>
      <c r="J63" s="9">
        <v>0.23400000000000001</v>
      </c>
    </row>
    <row r="64" spans="3:10" ht="16" thickBot="1" x14ac:dyDescent="0.4">
      <c r="C64" s="5">
        <v>57</v>
      </c>
      <c r="D64" s="5">
        <v>6.9999999999999999E-4</v>
      </c>
      <c r="E64" s="5">
        <v>6.9999999999999999E-4</v>
      </c>
      <c r="F64" s="5">
        <v>8.6999999999999994E-3</v>
      </c>
      <c r="G64" s="5">
        <v>8.6E-3</v>
      </c>
      <c r="H64" s="5">
        <v>8.6999999999999994E-3</v>
      </c>
      <c r="I64" s="9">
        <v>8.0000000000000002E-3</v>
      </c>
      <c r="J64" s="5">
        <v>0.2382</v>
      </c>
    </row>
    <row r="65" spans="3:10" ht="16" thickBot="1" x14ac:dyDescent="0.4">
      <c r="C65" s="5">
        <v>58</v>
      </c>
      <c r="D65" s="5">
        <v>6.9999999999999999E-4</v>
      </c>
      <c r="E65" s="5">
        <v>6.9999999999999999E-4</v>
      </c>
      <c r="F65" s="5">
        <v>8.8000000000000005E-3</v>
      </c>
      <c r="G65" s="5">
        <v>8.8000000000000005E-3</v>
      </c>
      <c r="H65" s="5">
        <v>8.8999999999999999E-3</v>
      </c>
      <c r="I65" s="5">
        <v>8.2000000000000007E-3</v>
      </c>
      <c r="J65" s="5">
        <v>0.24229999999999999</v>
      </c>
    </row>
    <row r="66" spans="3:10" ht="16" thickBot="1" x14ac:dyDescent="0.4">
      <c r="C66" s="5">
        <v>59</v>
      </c>
      <c r="D66" s="5">
        <v>6.9999999999999999E-4</v>
      </c>
      <c r="E66" s="5">
        <v>6.9999999999999999E-4</v>
      </c>
      <c r="F66" s="9">
        <v>8.9999999999999993E-3</v>
      </c>
      <c r="G66" s="5">
        <v>8.8999999999999999E-3</v>
      </c>
      <c r="H66" s="9">
        <v>8.9999999999999993E-3</v>
      </c>
      <c r="I66" s="5">
        <v>8.3000000000000001E-3</v>
      </c>
      <c r="J66" s="5">
        <v>0.2465</v>
      </c>
    </row>
    <row r="67" spans="3:10" ht="16" thickBot="1" x14ac:dyDescent="0.4">
      <c r="C67" s="5">
        <v>60</v>
      </c>
      <c r="D67" s="5">
        <v>6.9999999999999999E-4</v>
      </c>
      <c r="E67" s="5">
        <v>6.9999999999999999E-4</v>
      </c>
      <c r="F67" s="5">
        <v>9.1999999999999998E-3</v>
      </c>
      <c r="G67" s="5">
        <v>9.1000000000000004E-3</v>
      </c>
      <c r="H67" s="5">
        <v>9.1999999999999998E-3</v>
      </c>
      <c r="I67" s="5">
        <v>8.5000000000000006E-3</v>
      </c>
      <c r="J67" s="5">
        <v>0.25069999999999998</v>
      </c>
    </row>
  </sheetData>
  <mergeCells count="8">
    <mergeCell ref="I4:I5"/>
    <mergeCell ref="J4:J5"/>
    <mergeCell ref="C4:C6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683-8EDC-4C30-BB40-FDF2A748A118}">
  <dimension ref="A3:BV183"/>
  <sheetViews>
    <sheetView topLeftCell="A107" zoomScale="41" zoomScaleNormal="41" workbookViewId="0">
      <selection activeCell="AT114" sqref="AT114:BG146"/>
    </sheetView>
  </sheetViews>
  <sheetFormatPr defaultRowHeight="14.5" x14ac:dyDescent="0.35"/>
  <cols>
    <col min="3" max="3" width="14.08984375" customWidth="1"/>
    <col min="4" max="5" width="14.7265625" customWidth="1"/>
    <col min="6" max="6" width="15.08984375" customWidth="1"/>
    <col min="7" max="7" width="15.81640625" customWidth="1"/>
    <col min="8" max="8" width="15.54296875" customWidth="1"/>
    <col min="9" max="9" width="14.26953125" customWidth="1"/>
    <col min="10" max="10" width="14.7265625" customWidth="1"/>
    <col min="11" max="11" width="15" customWidth="1"/>
    <col min="12" max="12" width="14.26953125" customWidth="1"/>
    <col min="13" max="13" width="14.90625" customWidth="1"/>
    <col min="14" max="14" width="15.453125" customWidth="1"/>
    <col min="17" max="17" width="13.81640625" customWidth="1"/>
    <col min="18" max="18" width="14.26953125" customWidth="1"/>
    <col min="19" max="19" width="13.81640625" customWidth="1"/>
    <col min="20" max="20" width="12.08984375" customWidth="1"/>
    <col min="21" max="21" width="12.453125" customWidth="1"/>
    <col min="22" max="22" width="14.453125" customWidth="1"/>
    <col min="23" max="23" width="13.1796875" customWidth="1"/>
    <col min="24" max="25" width="12.453125" customWidth="1"/>
    <col min="26" max="26" width="12.90625" customWidth="1"/>
    <col min="27" max="27" width="13.36328125" customWidth="1"/>
    <col min="28" max="28" width="13.81640625" customWidth="1"/>
    <col min="32" max="32" width="13.81640625" customWidth="1"/>
    <col min="33" max="33" width="13.6328125" customWidth="1"/>
    <col min="34" max="35" width="13.81640625" customWidth="1"/>
    <col min="36" max="36" width="14.453125" customWidth="1"/>
    <col min="37" max="37" width="13.1796875" customWidth="1"/>
    <col min="38" max="38" width="14.08984375" customWidth="1"/>
    <col min="39" max="39" width="15.1796875" customWidth="1"/>
    <col min="40" max="40" width="14.26953125" customWidth="1"/>
    <col min="41" max="41" width="12.453125" customWidth="1"/>
    <col min="42" max="42" width="13.90625" customWidth="1"/>
    <col min="43" max="43" width="14.453125" customWidth="1"/>
    <col min="47" max="47" width="12.7265625" customWidth="1"/>
    <col min="48" max="48" width="12.453125" customWidth="1"/>
    <col min="49" max="49" width="12.26953125" customWidth="1"/>
    <col min="50" max="50" width="12.08984375" customWidth="1"/>
    <col min="51" max="51" width="11.1796875" customWidth="1"/>
    <col min="52" max="52" width="12.26953125" customWidth="1"/>
    <col min="53" max="53" width="12.453125" customWidth="1"/>
    <col min="54" max="54" width="11.6328125" customWidth="1"/>
    <col min="55" max="55" width="11.36328125" customWidth="1"/>
    <col min="56" max="56" width="11.81640625" customWidth="1"/>
    <col min="57" max="57" width="12.08984375" customWidth="1"/>
    <col min="58" max="58" width="13.36328125" customWidth="1"/>
  </cols>
  <sheetData>
    <row r="3" spans="2:59" ht="15" thickBot="1" x14ac:dyDescent="0.4"/>
    <row r="4" spans="2:59" ht="16" thickBot="1" x14ac:dyDescent="0.4">
      <c r="B4" s="41" t="s">
        <v>224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3"/>
      <c r="Q4" s="41" t="s">
        <v>225</v>
      </c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F4" s="41" t="s">
        <v>226</v>
      </c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3"/>
      <c r="AU4" s="41" t="s">
        <v>227</v>
      </c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3"/>
    </row>
    <row r="5" spans="2:59" ht="16" thickBot="1" x14ac:dyDescent="0.4">
      <c r="B5" s="2" t="s">
        <v>0</v>
      </c>
      <c r="C5" s="7">
        <v>0</v>
      </c>
      <c r="D5" s="7">
        <v>30</v>
      </c>
      <c r="E5" s="7">
        <v>60</v>
      </c>
      <c r="F5" s="7">
        <v>90</v>
      </c>
      <c r="G5" s="7">
        <v>120</v>
      </c>
      <c r="H5" s="7">
        <v>150</v>
      </c>
      <c r="I5" s="6">
        <v>180</v>
      </c>
      <c r="J5" s="6">
        <v>210</v>
      </c>
      <c r="K5" s="6">
        <v>240</v>
      </c>
      <c r="L5" s="6">
        <v>270</v>
      </c>
      <c r="M5" s="6">
        <v>300</v>
      </c>
      <c r="N5" s="6">
        <v>330</v>
      </c>
      <c r="Q5" s="2" t="s">
        <v>0</v>
      </c>
      <c r="R5" s="7">
        <v>0</v>
      </c>
      <c r="S5" s="7">
        <v>30</v>
      </c>
      <c r="T5" s="7">
        <v>60</v>
      </c>
      <c r="U5" s="7">
        <v>90</v>
      </c>
      <c r="V5" s="7">
        <v>120</v>
      </c>
      <c r="W5" s="7">
        <v>150</v>
      </c>
      <c r="X5" s="6">
        <v>180</v>
      </c>
      <c r="Y5" s="6">
        <v>210</v>
      </c>
      <c r="Z5" s="6">
        <v>240</v>
      </c>
      <c r="AA5" s="6">
        <v>270</v>
      </c>
      <c r="AB5" s="6">
        <v>300</v>
      </c>
      <c r="AC5" s="6">
        <v>330</v>
      </c>
      <c r="AF5" s="2" t="s">
        <v>0</v>
      </c>
      <c r="AG5" s="7">
        <v>0</v>
      </c>
      <c r="AH5" s="7">
        <v>30</v>
      </c>
      <c r="AI5" s="7">
        <v>60</v>
      </c>
      <c r="AJ5" s="7">
        <v>90</v>
      </c>
      <c r="AK5" s="7">
        <v>120</v>
      </c>
      <c r="AL5" s="7">
        <v>150</v>
      </c>
      <c r="AM5" s="6">
        <v>180</v>
      </c>
      <c r="AN5" s="6">
        <v>210</v>
      </c>
      <c r="AO5" s="6">
        <v>240</v>
      </c>
      <c r="AP5" s="6">
        <v>270</v>
      </c>
      <c r="AQ5" s="6">
        <v>300</v>
      </c>
      <c r="AR5" s="6">
        <v>330</v>
      </c>
      <c r="AU5" s="2" t="s">
        <v>0</v>
      </c>
      <c r="AV5" s="7">
        <v>0</v>
      </c>
      <c r="AW5" s="7">
        <v>30</v>
      </c>
      <c r="AX5" s="7">
        <v>60</v>
      </c>
      <c r="AY5" s="7">
        <v>90</v>
      </c>
      <c r="AZ5" s="7">
        <v>120</v>
      </c>
      <c r="BA5" s="7">
        <v>150</v>
      </c>
      <c r="BB5" s="6">
        <v>180</v>
      </c>
      <c r="BC5" s="6">
        <v>210</v>
      </c>
      <c r="BD5" s="6">
        <v>240</v>
      </c>
      <c r="BE5" s="6">
        <v>270</v>
      </c>
      <c r="BF5" s="6">
        <v>300</v>
      </c>
      <c r="BG5" s="6">
        <v>330</v>
      </c>
    </row>
    <row r="6" spans="2:59" ht="16" thickBot="1" x14ac:dyDescent="0.4">
      <c r="B6" s="2">
        <v>0</v>
      </c>
      <c r="C6" s="8">
        <v>0</v>
      </c>
      <c r="D6" s="8">
        <v>0.95730000000000004</v>
      </c>
      <c r="E6" s="8">
        <v>1.6580999999999999</v>
      </c>
      <c r="F6" s="8">
        <v>1.9146000000000001</v>
      </c>
      <c r="G6" s="8">
        <v>1.6580999999999999</v>
      </c>
      <c r="H6" s="8">
        <v>0.95730000000000004</v>
      </c>
      <c r="I6" s="9">
        <v>0</v>
      </c>
      <c r="J6" s="9">
        <v>-0.95730000000000004</v>
      </c>
      <c r="K6" s="9">
        <v>-1.6580999999999999</v>
      </c>
      <c r="L6" s="9">
        <v>-1.9146000000000001</v>
      </c>
      <c r="M6" s="9">
        <v>-1.6580999999999999</v>
      </c>
      <c r="N6" s="9">
        <v>-0.95730000000000004</v>
      </c>
      <c r="Q6" s="2">
        <v>0</v>
      </c>
      <c r="R6" s="8">
        <v>0</v>
      </c>
      <c r="S6" s="8">
        <v>0.01</v>
      </c>
      <c r="T6" s="8">
        <v>1.7299999999999999E-2</v>
      </c>
      <c r="U6" s="8">
        <v>0.02</v>
      </c>
      <c r="V6" s="8">
        <v>1.7299999999999999E-2</v>
      </c>
      <c r="W6" s="8">
        <v>0.01</v>
      </c>
      <c r="X6" s="9">
        <v>0</v>
      </c>
      <c r="Y6" s="9">
        <v>-0.01</v>
      </c>
      <c r="Z6" s="9">
        <v>-1.7299999999999999E-2</v>
      </c>
      <c r="AA6" s="9">
        <v>-0.02</v>
      </c>
      <c r="AB6" s="9">
        <v>-1.7299999999999999E-2</v>
      </c>
      <c r="AC6" s="9">
        <v>-0.01</v>
      </c>
      <c r="AF6" s="2">
        <v>0</v>
      </c>
      <c r="AG6" s="25">
        <v>-1.67E-2</v>
      </c>
      <c r="AH6" s="25">
        <v>-1.4460000000000001E-2</v>
      </c>
      <c r="AI6" s="25">
        <v>-8.3499999999999998E-3</v>
      </c>
      <c r="AJ6" s="25">
        <v>0</v>
      </c>
      <c r="AK6" s="25">
        <v>8.3499999999999998E-3</v>
      </c>
      <c r="AL6" s="25">
        <v>1.4460000000000001E-2</v>
      </c>
      <c r="AM6" s="26">
        <v>1.67E-2</v>
      </c>
      <c r="AN6" s="26">
        <v>1.4460000000000001E-2</v>
      </c>
      <c r="AO6" s="26">
        <v>8.3499999999999998E-3</v>
      </c>
      <c r="AP6" s="25">
        <v>0</v>
      </c>
      <c r="AQ6" s="25">
        <v>-8.3499999999999998E-3</v>
      </c>
      <c r="AR6" s="25">
        <v>-1.4460000000000001E-2</v>
      </c>
      <c r="AU6" s="2">
        <v>0</v>
      </c>
      <c r="AV6" s="25">
        <v>-1.3999999999999999E-4</v>
      </c>
      <c r="AW6" s="25">
        <v>-1.2E-4</v>
      </c>
      <c r="AX6" s="25">
        <v>-6.9999999999999994E-5</v>
      </c>
      <c r="AY6" s="25">
        <v>0</v>
      </c>
      <c r="AZ6" s="25">
        <v>6.9999999999999994E-5</v>
      </c>
      <c r="BA6" s="25">
        <v>1.2E-4</v>
      </c>
      <c r="BB6" s="26">
        <v>1.3999999999999999E-4</v>
      </c>
      <c r="BC6" s="26">
        <v>1.2E-4</v>
      </c>
      <c r="BD6" s="26">
        <v>6.9999999999999994E-5</v>
      </c>
      <c r="BE6" s="25">
        <v>0</v>
      </c>
      <c r="BF6" s="25">
        <v>-6.9999999999999994E-5</v>
      </c>
      <c r="BG6" s="25">
        <v>-1.2E-4</v>
      </c>
    </row>
    <row r="7" spans="2:59" ht="16" thickBot="1" x14ac:dyDescent="0.4">
      <c r="B7" s="2">
        <v>1</v>
      </c>
      <c r="C7" s="8">
        <v>3.3399999999999999E-2</v>
      </c>
      <c r="D7" s="8">
        <v>0.98609999999999998</v>
      </c>
      <c r="E7" s="8">
        <v>1.6745000000000001</v>
      </c>
      <c r="F7" s="8">
        <v>1.9142999999999999</v>
      </c>
      <c r="G7" s="8">
        <v>1.6411</v>
      </c>
      <c r="H7" s="8">
        <v>0.92820000000000003</v>
      </c>
      <c r="I7" s="9">
        <v>-3.3399999999999999E-2</v>
      </c>
      <c r="J7" s="9">
        <v>-0.98609999999999998</v>
      </c>
      <c r="K7" s="9">
        <v>-1.6745000000000001</v>
      </c>
      <c r="L7" s="9">
        <v>-1.9142999999999999</v>
      </c>
      <c r="M7" s="9">
        <v>-1.6411</v>
      </c>
      <c r="N7" s="9">
        <v>-0.92820000000000003</v>
      </c>
      <c r="Q7" s="2">
        <v>1</v>
      </c>
      <c r="R7" s="8">
        <v>2.9999999999999997E-4</v>
      </c>
      <c r="S7" s="8">
        <v>1.03E-2</v>
      </c>
      <c r="T7" s="8">
        <v>1.7500000000000002E-2</v>
      </c>
      <c r="U7" s="8">
        <v>0.02</v>
      </c>
      <c r="V7" s="8">
        <v>1.7100000000000001E-2</v>
      </c>
      <c r="W7" s="8">
        <v>9.7000000000000003E-3</v>
      </c>
      <c r="X7" s="9">
        <v>-2.9999999999999997E-4</v>
      </c>
      <c r="Y7" s="9">
        <v>-1.03E-2</v>
      </c>
      <c r="Z7" s="9">
        <v>-1.7500000000000002E-2</v>
      </c>
      <c r="AA7" s="9">
        <v>-0.02</v>
      </c>
      <c r="AB7" s="9">
        <v>-1.7100000000000001E-2</v>
      </c>
      <c r="AC7" s="9">
        <v>-9.7000000000000003E-3</v>
      </c>
      <c r="AF7" s="2">
        <v>1</v>
      </c>
      <c r="AG7" s="25">
        <v>-1.67E-2</v>
      </c>
      <c r="AH7" s="25">
        <v>-1.431E-2</v>
      </c>
      <c r="AI7" s="25">
        <v>-8.0999999999999996E-3</v>
      </c>
      <c r="AJ7" s="25">
        <v>2.9E-4</v>
      </c>
      <c r="AK7" s="25">
        <v>8.6E-3</v>
      </c>
      <c r="AL7" s="25">
        <v>1.461E-2</v>
      </c>
      <c r="AM7" s="26">
        <v>1.67E-2</v>
      </c>
      <c r="AN7" s="26">
        <v>1.431E-2</v>
      </c>
      <c r="AO7" s="26">
        <v>8.0999999999999996E-3</v>
      </c>
      <c r="AP7" s="25">
        <v>-2.9E-4</v>
      </c>
      <c r="AQ7" s="25">
        <v>-8.6E-3</v>
      </c>
      <c r="AR7" s="25">
        <v>-1.461E-2</v>
      </c>
      <c r="AU7" s="2">
        <v>1</v>
      </c>
      <c r="AV7" s="25">
        <v>-1.3999999999999999E-4</v>
      </c>
      <c r="AW7" s="25">
        <v>-1.2E-4</v>
      </c>
      <c r="AX7" s="25">
        <v>-6.9999999999999994E-5</v>
      </c>
      <c r="AY7" s="25">
        <v>0</v>
      </c>
      <c r="AZ7" s="25">
        <v>6.9999999999999994E-5</v>
      </c>
      <c r="BA7" s="25">
        <v>1.2E-4</v>
      </c>
      <c r="BB7" s="26">
        <v>1.3999999999999999E-4</v>
      </c>
      <c r="BC7" s="26">
        <v>1.2E-4</v>
      </c>
      <c r="BD7" s="26">
        <v>6.9999999999999994E-5</v>
      </c>
      <c r="BE7" s="25">
        <v>0</v>
      </c>
      <c r="BF7" s="25">
        <v>-6.9999999999999994E-5</v>
      </c>
      <c r="BG7" s="25">
        <v>-1.2E-4</v>
      </c>
    </row>
    <row r="8" spans="2:59" ht="16" thickBot="1" x14ac:dyDescent="0.4">
      <c r="B8" s="2">
        <v>2</v>
      </c>
      <c r="C8" s="8">
        <v>6.6799999999999998E-2</v>
      </c>
      <c r="D8" s="8">
        <v>1.0145999999999999</v>
      </c>
      <c r="E8" s="8">
        <v>1.6904999999999999</v>
      </c>
      <c r="F8" s="8">
        <v>1.9134</v>
      </c>
      <c r="G8" s="8">
        <v>1.6236999999999999</v>
      </c>
      <c r="H8" s="8">
        <v>0.89890000000000003</v>
      </c>
      <c r="I8" s="9">
        <v>-6.6799999999999998E-2</v>
      </c>
      <c r="J8" s="9">
        <v>-1.0145999999999999</v>
      </c>
      <c r="K8" s="9">
        <v>-1.6904999999999999</v>
      </c>
      <c r="L8" s="9">
        <v>-1.9134</v>
      </c>
      <c r="M8" s="9">
        <v>-1.6236999999999999</v>
      </c>
      <c r="N8" s="9">
        <v>-0.89890000000000003</v>
      </c>
      <c r="Q8" s="2">
        <v>2</v>
      </c>
      <c r="R8" s="8">
        <v>6.9999999999999999E-4</v>
      </c>
      <c r="S8" s="8">
        <v>1.06E-2</v>
      </c>
      <c r="T8" s="8">
        <v>1.77E-2</v>
      </c>
      <c r="U8" s="8">
        <v>0.02</v>
      </c>
      <c r="V8" s="8">
        <v>1.7000000000000001E-2</v>
      </c>
      <c r="W8" s="8">
        <v>9.4000000000000004E-3</v>
      </c>
      <c r="X8" s="9">
        <v>-6.9999999999999999E-4</v>
      </c>
      <c r="Y8" s="9">
        <v>-1.06E-2</v>
      </c>
      <c r="Z8" s="9">
        <v>-1.77E-2</v>
      </c>
      <c r="AA8" s="9">
        <v>-0.02</v>
      </c>
      <c r="AB8" s="9">
        <v>-1.7000000000000001E-2</v>
      </c>
      <c r="AC8" s="9">
        <v>-9.4000000000000004E-3</v>
      </c>
      <c r="AF8" s="2">
        <v>2</v>
      </c>
      <c r="AG8" s="25">
        <v>-1.669E-2</v>
      </c>
      <c r="AH8" s="25">
        <v>-1.4160000000000001E-2</v>
      </c>
      <c r="AI8" s="25">
        <v>-7.8399999999999997E-3</v>
      </c>
      <c r="AJ8" s="25">
        <v>5.8E-4</v>
      </c>
      <c r="AK8" s="25">
        <v>8.8500000000000002E-3</v>
      </c>
      <c r="AL8" s="25">
        <v>1.4749999999999999E-2</v>
      </c>
      <c r="AM8" s="26">
        <v>1.669E-2</v>
      </c>
      <c r="AN8" s="26">
        <v>1.4160000000000001E-2</v>
      </c>
      <c r="AO8" s="26">
        <v>7.8399999999999997E-3</v>
      </c>
      <c r="AP8" s="25">
        <v>-5.8E-4</v>
      </c>
      <c r="AQ8" s="25">
        <v>-8.8500000000000002E-3</v>
      </c>
      <c r="AR8" s="25">
        <v>-1.4749999999999999E-2</v>
      </c>
      <c r="AU8" s="2">
        <v>2</v>
      </c>
      <c r="AV8" s="25">
        <v>-1.3999999999999999E-4</v>
      </c>
      <c r="AW8" s="25">
        <v>-1.2E-4</v>
      </c>
      <c r="AX8" s="25">
        <v>-6.9999999999999994E-5</v>
      </c>
      <c r="AY8" s="25">
        <v>0</v>
      </c>
      <c r="AZ8" s="25">
        <v>6.9999999999999994E-5</v>
      </c>
      <c r="BA8" s="25">
        <v>1.2E-4</v>
      </c>
      <c r="BB8" s="26">
        <v>1.3999999999999999E-4</v>
      </c>
      <c r="BC8" s="26">
        <v>1.2E-4</v>
      </c>
      <c r="BD8" s="26">
        <v>6.9999999999999994E-5</v>
      </c>
      <c r="BE8" s="25">
        <v>0</v>
      </c>
      <c r="BF8" s="25">
        <v>-6.9999999999999994E-5</v>
      </c>
      <c r="BG8" s="25">
        <v>-1.2E-4</v>
      </c>
    </row>
    <row r="9" spans="2:59" ht="16" thickBot="1" x14ac:dyDescent="0.4">
      <c r="B9" s="2">
        <v>3</v>
      </c>
      <c r="C9" s="8">
        <v>0.1002</v>
      </c>
      <c r="D9" s="8">
        <v>1.0427999999999999</v>
      </c>
      <c r="E9" s="8">
        <v>1.7059</v>
      </c>
      <c r="F9" s="8">
        <v>1.9119999999999999</v>
      </c>
      <c r="G9" s="8">
        <v>1.6056999999999999</v>
      </c>
      <c r="H9" s="8">
        <v>0.86919999999999997</v>
      </c>
      <c r="I9" s="9">
        <v>-0.1002</v>
      </c>
      <c r="J9" s="9">
        <v>-1.0427999999999999</v>
      </c>
      <c r="K9" s="9">
        <v>-1.7059</v>
      </c>
      <c r="L9" s="9">
        <v>-1.9119999999999999</v>
      </c>
      <c r="M9" s="9">
        <v>-1.6056999999999999</v>
      </c>
      <c r="N9" s="9">
        <v>-0.86919999999999997</v>
      </c>
      <c r="Q9" s="2">
        <v>3</v>
      </c>
      <c r="R9" s="8">
        <v>1E-3</v>
      </c>
      <c r="S9" s="8">
        <v>1.09E-2</v>
      </c>
      <c r="T9" s="8">
        <v>1.78E-2</v>
      </c>
      <c r="U9" s="8">
        <v>0.02</v>
      </c>
      <c r="V9" s="8">
        <v>1.6799999999999999E-2</v>
      </c>
      <c r="W9" s="8">
        <v>9.1000000000000004E-3</v>
      </c>
      <c r="X9" s="9">
        <v>-1E-3</v>
      </c>
      <c r="Y9" s="9">
        <v>-1.09E-2</v>
      </c>
      <c r="Z9" s="9">
        <v>-1.78E-2</v>
      </c>
      <c r="AA9" s="9">
        <v>-0.02</v>
      </c>
      <c r="AB9" s="9">
        <v>-1.6799999999999999E-2</v>
      </c>
      <c r="AC9" s="9">
        <v>-9.1000000000000004E-3</v>
      </c>
      <c r="AF9" s="2">
        <v>3</v>
      </c>
      <c r="AG9" s="25">
        <v>-1.668E-2</v>
      </c>
      <c r="AH9" s="25">
        <v>-1.401E-2</v>
      </c>
      <c r="AI9" s="25">
        <v>-7.5799999999999999E-3</v>
      </c>
      <c r="AJ9" s="25">
        <v>8.7000000000000001E-4</v>
      </c>
      <c r="AK9" s="25">
        <v>9.1000000000000004E-3</v>
      </c>
      <c r="AL9" s="25">
        <v>1.4880000000000001E-2</v>
      </c>
      <c r="AM9" s="26">
        <v>1.668E-2</v>
      </c>
      <c r="AN9" s="26">
        <v>1.401E-2</v>
      </c>
      <c r="AO9" s="26">
        <v>7.5799999999999999E-3</v>
      </c>
      <c r="AP9" s="25">
        <v>-8.7000000000000001E-4</v>
      </c>
      <c r="AQ9" s="25">
        <v>-9.1000000000000004E-3</v>
      </c>
      <c r="AR9" s="25">
        <v>-1.4880000000000001E-2</v>
      </c>
      <c r="AU9" s="2">
        <v>3</v>
      </c>
      <c r="AV9" s="25">
        <v>-1.3999999999999999E-4</v>
      </c>
      <c r="AW9" s="25">
        <v>-1.2E-4</v>
      </c>
      <c r="AX9" s="25">
        <v>-6.0000000000000002E-5</v>
      </c>
      <c r="AY9" s="25">
        <v>1.0000000000000001E-5</v>
      </c>
      <c r="AZ9" s="25">
        <v>8.0000000000000007E-5</v>
      </c>
      <c r="BA9" s="25">
        <v>1.2E-4</v>
      </c>
      <c r="BB9" s="26">
        <v>1.3999999999999999E-4</v>
      </c>
      <c r="BC9" s="26">
        <v>1.2E-4</v>
      </c>
      <c r="BD9" s="26">
        <v>6.0000000000000002E-5</v>
      </c>
      <c r="BE9" s="25">
        <v>-1.0000000000000001E-5</v>
      </c>
      <c r="BF9" s="25">
        <v>-8.0000000000000007E-5</v>
      </c>
      <c r="BG9" s="25">
        <v>-1.2E-4</v>
      </c>
    </row>
    <row r="10" spans="2:59" ht="16" thickBot="1" x14ac:dyDescent="0.4">
      <c r="B10" s="2">
        <v>4</v>
      </c>
      <c r="C10" s="8">
        <v>0.1336</v>
      </c>
      <c r="D10" s="8">
        <v>1.0706</v>
      </c>
      <c r="E10" s="8">
        <v>1.7208000000000001</v>
      </c>
      <c r="F10" s="8">
        <v>1.9098999999999999</v>
      </c>
      <c r="G10" s="8">
        <v>1.5872999999999999</v>
      </c>
      <c r="H10" s="8">
        <v>0.83930000000000005</v>
      </c>
      <c r="I10" s="9">
        <v>-0.1336</v>
      </c>
      <c r="J10" s="9">
        <v>-1.0706</v>
      </c>
      <c r="K10" s="9">
        <v>-1.7208000000000001</v>
      </c>
      <c r="L10" s="9">
        <v>-1.9098999999999999</v>
      </c>
      <c r="M10" s="9">
        <v>-1.5872999999999999</v>
      </c>
      <c r="N10" s="9">
        <v>-0.83930000000000005</v>
      </c>
      <c r="Q10" s="2">
        <v>4</v>
      </c>
      <c r="R10" s="8">
        <v>1.4E-3</v>
      </c>
      <c r="S10" s="8">
        <v>1.12E-2</v>
      </c>
      <c r="T10" s="8">
        <v>1.7999999999999999E-2</v>
      </c>
      <c r="U10" s="8">
        <v>1.9900000000000001E-2</v>
      </c>
      <c r="V10" s="8">
        <v>1.66E-2</v>
      </c>
      <c r="W10" s="8">
        <v>8.8000000000000005E-3</v>
      </c>
      <c r="X10" s="9">
        <v>-1.4E-3</v>
      </c>
      <c r="Y10" s="9">
        <v>-1.12E-2</v>
      </c>
      <c r="Z10" s="9">
        <v>-1.7999999999999999E-2</v>
      </c>
      <c r="AA10" s="9">
        <v>-1.9900000000000001E-2</v>
      </c>
      <c r="AB10" s="9">
        <v>-1.66E-2</v>
      </c>
      <c r="AC10" s="9">
        <v>-8.8000000000000005E-3</v>
      </c>
      <c r="AF10" s="2">
        <v>4</v>
      </c>
      <c r="AG10" s="25">
        <v>-1.6660000000000001E-2</v>
      </c>
      <c r="AH10" s="25">
        <v>-1.384E-2</v>
      </c>
      <c r="AI10" s="25">
        <v>-7.3200000000000001E-3</v>
      </c>
      <c r="AJ10" s="25">
        <v>1.16E-3</v>
      </c>
      <c r="AK10" s="25">
        <v>9.3399999999999993E-3</v>
      </c>
      <c r="AL10" s="25">
        <v>1.5010000000000001E-2</v>
      </c>
      <c r="AM10" s="26">
        <v>1.6660000000000001E-2</v>
      </c>
      <c r="AN10" s="26">
        <v>1.384E-2</v>
      </c>
      <c r="AO10" s="26">
        <v>7.3200000000000001E-3</v>
      </c>
      <c r="AP10" s="25">
        <v>-1.16E-3</v>
      </c>
      <c r="AQ10" s="25">
        <v>-9.3399999999999993E-3</v>
      </c>
      <c r="AR10" s="25">
        <v>-1.5010000000000001E-2</v>
      </c>
      <c r="AU10" s="2">
        <v>4</v>
      </c>
      <c r="AV10" s="25">
        <v>-1.3999999999999999E-4</v>
      </c>
      <c r="AW10" s="25">
        <v>-1.2E-4</v>
      </c>
      <c r="AX10" s="25">
        <v>-6.0000000000000002E-5</v>
      </c>
      <c r="AY10" s="25">
        <v>1.0000000000000001E-5</v>
      </c>
      <c r="AZ10" s="25">
        <v>8.0000000000000007E-5</v>
      </c>
      <c r="BA10" s="25">
        <v>1.2999999999999999E-4</v>
      </c>
      <c r="BB10" s="26">
        <v>1.3999999999999999E-4</v>
      </c>
      <c r="BC10" s="26">
        <v>1.2E-4</v>
      </c>
      <c r="BD10" s="26">
        <v>6.0000000000000002E-5</v>
      </c>
      <c r="BE10" s="25">
        <v>-1.0000000000000001E-5</v>
      </c>
      <c r="BF10" s="25">
        <v>-8.0000000000000007E-5</v>
      </c>
      <c r="BG10" s="25">
        <v>-1.2999999999999999E-4</v>
      </c>
    </row>
    <row r="11" spans="2:59" ht="16" thickBot="1" x14ac:dyDescent="0.4">
      <c r="B11" s="2">
        <v>5</v>
      </c>
      <c r="C11" s="8">
        <v>0.16689999999999999</v>
      </c>
      <c r="D11" s="8">
        <v>1.0982000000000001</v>
      </c>
      <c r="E11" s="8">
        <v>1.7352000000000001</v>
      </c>
      <c r="F11" s="8">
        <v>1.9073</v>
      </c>
      <c r="G11" s="8">
        <v>1.5683</v>
      </c>
      <c r="H11" s="8">
        <v>0.80910000000000004</v>
      </c>
      <c r="I11" s="9">
        <v>-0.16689999999999999</v>
      </c>
      <c r="J11" s="9">
        <v>-1.0982000000000001</v>
      </c>
      <c r="K11" s="9">
        <v>-1.7352000000000001</v>
      </c>
      <c r="L11" s="9">
        <v>-1.9073</v>
      </c>
      <c r="M11" s="9">
        <v>-1.5683</v>
      </c>
      <c r="N11" s="9">
        <v>-0.80910000000000004</v>
      </c>
      <c r="Q11" s="2">
        <v>5</v>
      </c>
      <c r="R11" s="8">
        <v>1.6999999999999999E-3</v>
      </c>
      <c r="S11" s="8">
        <v>1.15E-2</v>
      </c>
      <c r="T11" s="8">
        <v>1.8100000000000002E-2</v>
      </c>
      <c r="U11" s="8">
        <v>1.9900000000000001E-2</v>
      </c>
      <c r="V11" s="8">
        <v>1.6400000000000001E-2</v>
      </c>
      <c r="W11" s="8">
        <v>8.3999999999999995E-3</v>
      </c>
      <c r="X11" s="9">
        <v>-1.6999999999999999E-3</v>
      </c>
      <c r="Y11" s="9">
        <v>-1.15E-2</v>
      </c>
      <c r="Z11" s="9">
        <v>-1.8100000000000002E-2</v>
      </c>
      <c r="AA11" s="9">
        <v>-1.9900000000000001E-2</v>
      </c>
      <c r="AB11" s="9">
        <v>-1.6400000000000001E-2</v>
      </c>
      <c r="AC11" s="9">
        <v>-8.3999999999999995E-3</v>
      </c>
      <c r="AF11" s="2">
        <v>5</v>
      </c>
      <c r="AG11" s="25">
        <v>-1.6639999999999999E-2</v>
      </c>
      <c r="AH11" s="25">
        <v>-1.3679999999999999E-2</v>
      </c>
      <c r="AI11" s="25">
        <v>-7.0600000000000003E-3</v>
      </c>
      <c r="AJ11" s="25">
        <v>1.4599999999999999E-3</v>
      </c>
      <c r="AK11" s="25">
        <v>9.58E-3</v>
      </c>
      <c r="AL11" s="25">
        <v>1.5140000000000001E-2</v>
      </c>
      <c r="AM11" s="26">
        <v>1.6639999999999999E-2</v>
      </c>
      <c r="AN11" s="26">
        <v>1.3679999999999999E-2</v>
      </c>
      <c r="AO11" s="26">
        <v>7.0600000000000003E-3</v>
      </c>
      <c r="AP11" s="25">
        <v>-1.4599999999999999E-3</v>
      </c>
      <c r="AQ11" s="25">
        <v>-9.58E-3</v>
      </c>
      <c r="AR11" s="25">
        <v>-1.5140000000000001E-2</v>
      </c>
      <c r="AU11" s="2">
        <v>5</v>
      </c>
      <c r="AV11" s="25">
        <v>-1.3999999999999999E-4</v>
      </c>
      <c r="AW11" s="25">
        <v>-1.1E-4</v>
      </c>
      <c r="AX11" s="25">
        <v>-6.0000000000000002E-5</v>
      </c>
      <c r="AY11" s="25">
        <v>1.0000000000000001E-5</v>
      </c>
      <c r="AZ11" s="25">
        <v>8.0000000000000007E-5</v>
      </c>
      <c r="BA11" s="25">
        <v>1.2999999999999999E-4</v>
      </c>
      <c r="BB11" s="26">
        <v>1.3999999999999999E-4</v>
      </c>
      <c r="BC11" s="26">
        <v>1.1E-4</v>
      </c>
      <c r="BD11" s="26">
        <v>6.0000000000000002E-5</v>
      </c>
      <c r="BE11" s="25">
        <v>-1.0000000000000001E-5</v>
      </c>
      <c r="BF11" s="25">
        <v>-8.0000000000000007E-5</v>
      </c>
      <c r="BG11" s="25">
        <v>-1.2999999999999999E-4</v>
      </c>
    </row>
    <row r="12" spans="2:59" ht="16" thickBot="1" x14ac:dyDescent="0.4">
      <c r="B12" s="2">
        <v>6</v>
      </c>
      <c r="C12" s="8">
        <v>0.2001</v>
      </c>
      <c r="D12" s="8">
        <v>1.1254</v>
      </c>
      <c r="E12" s="8">
        <v>1.7491000000000001</v>
      </c>
      <c r="F12" s="8">
        <v>1.9040999999999999</v>
      </c>
      <c r="G12" s="8">
        <v>1.5488999999999999</v>
      </c>
      <c r="H12" s="8">
        <v>0.77869999999999995</v>
      </c>
      <c r="I12" s="9">
        <v>-0.2001</v>
      </c>
      <c r="J12" s="9">
        <v>-1.1254</v>
      </c>
      <c r="K12" s="9">
        <v>-1.7491000000000001</v>
      </c>
      <c r="L12" s="9">
        <v>-1.9040999999999999</v>
      </c>
      <c r="M12" s="9">
        <v>-1.5488999999999999</v>
      </c>
      <c r="N12" s="9">
        <v>-0.77869999999999995</v>
      </c>
      <c r="Q12" s="2">
        <v>6</v>
      </c>
      <c r="R12" s="8">
        <v>2.0999999999999999E-3</v>
      </c>
      <c r="S12" s="8">
        <v>1.18E-2</v>
      </c>
      <c r="T12" s="8">
        <v>1.83E-2</v>
      </c>
      <c r="U12" s="8">
        <v>1.9900000000000001E-2</v>
      </c>
      <c r="V12" s="8">
        <v>1.6199999999999999E-2</v>
      </c>
      <c r="W12" s="8">
        <v>8.0999999999999996E-3</v>
      </c>
      <c r="X12" s="9">
        <v>-2.0999999999999999E-3</v>
      </c>
      <c r="Y12" s="9">
        <v>-1.18E-2</v>
      </c>
      <c r="Z12" s="9">
        <v>-1.83E-2</v>
      </c>
      <c r="AA12" s="9">
        <v>-1.9900000000000001E-2</v>
      </c>
      <c r="AB12" s="9">
        <v>-1.6199999999999999E-2</v>
      </c>
      <c r="AC12" s="9">
        <v>-8.0999999999999996E-3</v>
      </c>
      <c r="AF12" s="2">
        <v>6</v>
      </c>
      <c r="AG12" s="25">
        <v>-1.661E-2</v>
      </c>
      <c r="AH12" s="25">
        <v>-1.3509999999999999E-2</v>
      </c>
      <c r="AI12" s="25">
        <v>-6.79E-3</v>
      </c>
      <c r="AJ12" s="25">
        <v>1.75E-3</v>
      </c>
      <c r="AK12" s="25">
        <v>9.8200000000000006E-3</v>
      </c>
      <c r="AL12" s="25">
        <v>1.5259999999999999E-2</v>
      </c>
      <c r="AM12" s="26">
        <v>1.661E-2</v>
      </c>
      <c r="AN12" s="26">
        <v>1.3509999999999999E-2</v>
      </c>
      <c r="AO12" s="26">
        <v>6.79E-3</v>
      </c>
      <c r="AP12" s="25">
        <v>-1.75E-3</v>
      </c>
      <c r="AQ12" s="25">
        <v>-9.8200000000000006E-3</v>
      </c>
      <c r="AR12" s="25">
        <v>-1.5259999999999999E-2</v>
      </c>
      <c r="AU12" s="2">
        <v>6</v>
      </c>
      <c r="AV12" s="25">
        <v>-1.3999999999999999E-4</v>
      </c>
      <c r="AW12" s="25">
        <v>-1.1E-4</v>
      </c>
      <c r="AX12" s="25">
        <v>-6.0000000000000002E-5</v>
      </c>
      <c r="AY12" s="25">
        <v>1.0000000000000001E-5</v>
      </c>
      <c r="AZ12" s="25">
        <v>8.0000000000000007E-5</v>
      </c>
      <c r="BA12" s="25">
        <v>1.2999999999999999E-4</v>
      </c>
      <c r="BB12" s="26">
        <v>1.3999999999999999E-4</v>
      </c>
      <c r="BC12" s="26">
        <v>1.1E-4</v>
      </c>
      <c r="BD12" s="26">
        <v>6.0000000000000002E-5</v>
      </c>
      <c r="BE12" s="25">
        <v>-1.0000000000000001E-5</v>
      </c>
      <c r="BF12" s="25">
        <v>-8.0000000000000007E-5</v>
      </c>
      <c r="BG12" s="25">
        <v>-1.2999999999999999E-4</v>
      </c>
    </row>
    <row r="13" spans="2:59" ht="16" thickBot="1" x14ac:dyDescent="0.4">
      <c r="B13" s="2">
        <v>7</v>
      </c>
      <c r="C13" s="8">
        <v>0.23330000000000001</v>
      </c>
      <c r="D13" s="8">
        <v>1.1521999999999999</v>
      </c>
      <c r="E13" s="8">
        <v>1.7624</v>
      </c>
      <c r="F13" s="8">
        <v>1.9003000000000001</v>
      </c>
      <c r="G13" s="8">
        <v>1.5290999999999999</v>
      </c>
      <c r="H13" s="8">
        <v>0.74809999999999999</v>
      </c>
      <c r="I13" s="9">
        <v>-0.23330000000000001</v>
      </c>
      <c r="J13" s="9">
        <v>-1.1521999999999999</v>
      </c>
      <c r="K13" s="9">
        <v>-1.7624</v>
      </c>
      <c r="L13" s="9">
        <v>-1.9003000000000001</v>
      </c>
      <c r="M13" s="9">
        <v>-1.5290999999999999</v>
      </c>
      <c r="N13" s="9">
        <v>-0.74809999999999999</v>
      </c>
      <c r="Q13" s="2">
        <v>7</v>
      </c>
      <c r="R13" s="8">
        <v>2.3999999999999998E-3</v>
      </c>
      <c r="S13" s="8">
        <v>1.2E-2</v>
      </c>
      <c r="T13" s="8">
        <v>1.84E-2</v>
      </c>
      <c r="U13" s="8">
        <v>1.9800000000000002E-2</v>
      </c>
      <c r="V13" s="8">
        <v>1.6E-2</v>
      </c>
      <c r="W13" s="8">
        <v>7.7999999999999996E-3</v>
      </c>
      <c r="X13" s="9">
        <v>-2.3999999999999998E-3</v>
      </c>
      <c r="Y13" s="9">
        <v>-1.2E-2</v>
      </c>
      <c r="Z13" s="9">
        <v>-1.84E-2</v>
      </c>
      <c r="AA13" s="9">
        <v>-1.9800000000000002E-2</v>
      </c>
      <c r="AB13" s="9">
        <v>-1.6E-2</v>
      </c>
      <c r="AC13" s="9">
        <v>-7.7999999999999996E-3</v>
      </c>
      <c r="AF13" s="2">
        <v>7</v>
      </c>
      <c r="AG13" s="25">
        <v>-1.6580000000000001E-2</v>
      </c>
      <c r="AH13" s="25">
        <v>-1.3339999999999999E-2</v>
      </c>
      <c r="AI13" s="25">
        <v>-6.5300000000000002E-3</v>
      </c>
      <c r="AJ13" s="25">
        <v>2.0400000000000001E-3</v>
      </c>
      <c r="AK13" s="25">
        <v>1.005E-2</v>
      </c>
      <c r="AL13" s="25">
        <v>1.537E-2</v>
      </c>
      <c r="AM13" s="26">
        <v>1.6580000000000001E-2</v>
      </c>
      <c r="AN13" s="26">
        <v>1.3339999999999999E-2</v>
      </c>
      <c r="AO13" s="26">
        <v>6.5300000000000002E-3</v>
      </c>
      <c r="AP13" s="25">
        <v>-2.0400000000000001E-3</v>
      </c>
      <c r="AQ13" s="25">
        <v>-1.005E-2</v>
      </c>
      <c r="AR13" s="25">
        <v>-1.537E-2</v>
      </c>
      <c r="AU13" s="2">
        <v>7</v>
      </c>
      <c r="AV13" s="25">
        <v>-1.3999999999999999E-4</v>
      </c>
      <c r="AW13" s="25">
        <v>-1.1E-4</v>
      </c>
      <c r="AX13" s="25">
        <v>-5.0000000000000002E-5</v>
      </c>
      <c r="AY13" s="25">
        <v>2.0000000000000002E-5</v>
      </c>
      <c r="AZ13" s="25">
        <v>8.0000000000000007E-5</v>
      </c>
      <c r="BA13" s="25">
        <v>1.2999999999999999E-4</v>
      </c>
      <c r="BB13" s="26">
        <v>1.3999999999999999E-4</v>
      </c>
      <c r="BC13" s="26">
        <v>1.1E-4</v>
      </c>
      <c r="BD13" s="26">
        <v>5.0000000000000002E-5</v>
      </c>
      <c r="BE13" s="25">
        <v>-2.0000000000000002E-5</v>
      </c>
      <c r="BF13" s="25">
        <v>-8.0000000000000007E-5</v>
      </c>
      <c r="BG13" s="25">
        <v>-1.2999999999999999E-4</v>
      </c>
    </row>
    <row r="14" spans="2:59" ht="16" thickBot="1" x14ac:dyDescent="0.4">
      <c r="B14" s="2">
        <v>8</v>
      </c>
      <c r="C14" s="8">
        <v>0.26650000000000001</v>
      </c>
      <c r="D14" s="8">
        <v>1.1787000000000001</v>
      </c>
      <c r="E14" s="8">
        <v>1.7751999999999999</v>
      </c>
      <c r="F14" s="8">
        <v>1.8959999999999999</v>
      </c>
      <c r="G14" s="8">
        <v>1.5086999999999999</v>
      </c>
      <c r="H14" s="8">
        <v>0.71719999999999995</v>
      </c>
      <c r="I14" s="9">
        <v>-0.26650000000000001</v>
      </c>
      <c r="J14" s="9">
        <v>-1.1787000000000001</v>
      </c>
      <c r="K14" s="9">
        <v>-1.7751999999999999</v>
      </c>
      <c r="L14" s="9">
        <v>-1.8959999999999999</v>
      </c>
      <c r="M14" s="9">
        <v>-1.5086999999999999</v>
      </c>
      <c r="N14" s="9">
        <v>-0.71719999999999995</v>
      </c>
      <c r="Q14" s="2">
        <v>8</v>
      </c>
      <c r="R14" s="8">
        <v>2.8E-3</v>
      </c>
      <c r="S14" s="8">
        <v>1.23E-2</v>
      </c>
      <c r="T14" s="8">
        <v>1.8499999999999999E-2</v>
      </c>
      <c r="U14" s="8">
        <v>1.9800000000000002E-2</v>
      </c>
      <c r="V14" s="8">
        <v>1.5800000000000002E-2</v>
      </c>
      <c r="W14" s="8">
        <v>7.4999999999999997E-3</v>
      </c>
      <c r="X14" s="9">
        <v>-2.8E-3</v>
      </c>
      <c r="Y14" s="9">
        <v>-1.23E-2</v>
      </c>
      <c r="Z14" s="9">
        <v>-1.8499999999999999E-2</v>
      </c>
      <c r="AA14" s="9">
        <v>-1.9800000000000002E-2</v>
      </c>
      <c r="AB14" s="9">
        <v>-1.5800000000000002E-2</v>
      </c>
      <c r="AC14" s="9">
        <v>-7.4999999999999997E-3</v>
      </c>
      <c r="AF14" s="2">
        <v>8</v>
      </c>
      <c r="AG14" s="25">
        <v>-1.6539999999999999E-2</v>
      </c>
      <c r="AH14" s="25">
        <v>-1.316E-2</v>
      </c>
      <c r="AI14" s="25">
        <v>-6.2599999999999999E-3</v>
      </c>
      <c r="AJ14" s="25">
        <v>2.32E-3</v>
      </c>
      <c r="AK14" s="25">
        <v>1.0279999999999999E-2</v>
      </c>
      <c r="AL14" s="25">
        <v>1.5480000000000001E-2</v>
      </c>
      <c r="AM14" s="26">
        <v>1.6539999999999999E-2</v>
      </c>
      <c r="AN14" s="26">
        <v>1.316E-2</v>
      </c>
      <c r="AO14" s="26">
        <v>6.2599999999999999E-3</v>
      </c>
      <c r="AP14" s="25">
        <v>-2.32E-3</v>
      </c>
      <c r="AQ14" s="25">
        <v>-1.0279999999999999E-2</v>
      </c>
      <c r="AR14" s="25">
        <v>-1.5480000000000001E-2</v>
      </c>
      <c r="AU14" s="2">
        <v>8</v>
      </c>
      <c r="AV14" s="25">
        <v>-1.3999999999999999E-4</v>
      </c>
      <c r="AW14" s="25">
        <v>-1.1E-4</v>
      </c>
      <c r="AX14" s="25">
        <v>-5.0000000000000002E-5</v>
      </c>
      <c r="AY14" s="25">
        <v>2.0000000000000002E-5</v>
      </c>
      <c r="AZ14" s="25">
        <v>9.0000000000000006E-5</v>
      </c>
      <c r="BA14" s="25">
        <v>1.2999999999999999E-4</v>
      </c>
      <c r="BB14" s="26">
        <v>1.3999999999999999E-4</v>
      </c>
      <c r="BC14" s="26">
        <v>1.1E-4</v>
      </c>
      <c r="BD14" s="26">
        <v>5.0000000000000002E-5</v>
      </c>
      <c r="BE14" s="25">
        <v>-2.0000000000000002E-5</v>
      </c>
      <c r="BF14" s="25">
        <v>-9.0000000000000006E-5</v>
      </c>
      <c r="BG14" s="25">
        <v>-1.2999999999999999E-4</v>
      </c>
    </row>
    <row r="15" spans="2:59" ht="16" thickBot="1" x14ac:dyDescent="0.4">
      <c r="B15" s="2">
        <v>9</v>
      </c>
      <c r="C15" s="8">
        <v>0.29949999999999999</v>
      </c>
      <c r="D15" s="8">
        <v>1.2049000000000001</v>
      </c>
      <c r="E15" s="8">
        <v>1.7874000000000001</v>
      </c>
      <c r="F15" s="8">
        <v>1.891</v>
      </c>
      <c r="G15" s="8">
        <v>1.4879</v>
      </c>
      <c r="H15" s="8">
        <v>0.68610000000000004</v>
      </c>
      <c r="I15" s="9">
        <v>-0.29949999999999999</v>
      </c>
      <c r="J15" s="9">
        <v>-1.2049000000000001</v>
      </c>
      <c r="K15" s="9">
        <v>-1.7874000000000001</v>
      </c>
      <c r="L15" s="9">
        <v>-1.891</v>
      </c>
      <c r="M15" s="9">
        <v>-1.4879</v>
      </c>
      <c r="N15" s="9">
        <v>-0.68610000000000004</v>
      </c>
      <c r="Q15" s="2">
        <v>9</v>
      </c>
      <c r="R15" s="8">
        <v>3.0999999999999999E-3</v>
      </c>
      <c r="S15" s="8">
        <v>1.26E-2</v>
      </c>
      <c r="T15" s="8">
        <v>1.8700000000000001E-2</v>
      </c>
      <c r="U15" s="8">
        <v>1.9699999999999999E-2</v>
      </c>
      <c r="V15" s="8">
        <v>1.55E-2</v>
      </c>
      <c r="W15" s="8">
        <v>7.1999999999999998E-3</v>
      </c>
      <c r="X15" s="9">
        <v>-3.0999999999999999E-3</v>
      </c>
      <c r="Y15" s="9">
        <v>-1.26E-2</v>
      </c>
      <c r="Z15" s="9">
        <v>-1.8700000000000001E-2</v>
      </c>
      <c r="AA15" s="9">
        <v>-1.9699999999999999E-2</v>
      </c>
      <c r="AB15" s="9">
        <v>-1.55E-2</v>
      </c>
      <c r="AC15" s="9">
        <v>-7.1999999999999998E-3</v>
      </c>
      <c r="AF15" s="2">
        <v>9</v>
      </c>
      <c r="AG15" s="25">
        <v>-1.6490000000000001E-2</v>
      </c>
      <c r="AH15" s="25">
        <v>-1.298E-2</v>
      </c>
      <c r="AI15" s="25">
        <v>-5.9800000000000001E-3</v>
      </c>
      <c r="AJ15" s="25">
        <v>2.6099999999999999E-3</v>
      </c>
      <c r="AK15" s="25">
        <v>1.051E-2</v>
      </c>
      <c r="AL15" s="25">
        <v>1.559E-2</v>
      </c>
      <c r="AM15" s="26">
        <v>1.6490000000000001E-2</v>
      </c>
      <c r="AN15" s="26">
        <v>1.298E-2</v>
      </c>
      <c r="AO15" s="26">
        <v>5.9800000000000001E-3</v>
      </c>
      <c r="AP15" s="25">
        <v>-2.6099999999999999E-3</v>
      </c>
      <c r="AQ15" s="25">
        <v>-1.051E-2</v>
      </c>
      <c r="AR15" s="25">
        <v>-1.559E-2</v>
      </c>
      <c r="AU15" s="2">
        <v>9</v>
      </c>
      <c r="AV15" s="25">
        <v>-1.3999999999999999E-4</v>
      </c>
      <c r="AW15" s="25">
        <v>-1.1E-4</v>
      </c>
      <c r="AX15" s="25">
        <v>-5.0000000000000002E-5</v>
      </c>
      <c r="AY15" s="25">
        <v>2.0000000000000002E-5</v>
      </c>
      <c r="AZ15" s="25">
        <v>9.0000000000000006E-5</v>
      </c>
      <c r="BA15" s="25">
        <v>1.2999999999999999E-4</v>
      </c>
      <c r="BB15" s="26">
        <v>1.3999999999999999E-4</v>
      </c>
      <c r="BC15" s="26">
        <v>1.1E-4</v>
      </c>
      <c r="BD15" s="26">
        <v>5.0000000000000002E-5</v>
      </c>
      <c r="BE15" s="25">
        <v>-2.0000000000000002E-5</v>
      </c>
      <c r="BF15" s="25">
        <v>-9.0000000000000006E-5</v>
      </c>
      <c r="BG15" s="25">
        <v>-1.2999999999999999E-4</v>
      </c>
    </row>
    <row r="16" spans="2:59" ht="16" thickBot="1" x14ac:dyDescent="0.4">
      <c r="B16" s="2">
        <v>10</v>
      </c>
      <c r="C16" s="8">
        <v>0.33250000000000002</v>
      </c>
      <c r="D16" s="8">
        <v>1.2306999999999999</v>
      </c>
      <c r="E16" s="8">
        <v>1.7990999999999999</v>
      </c>
      <c r="F16" s="8">
        <v>1.8855</v>
      </c>
      <c r="G16" s="8">
        <v>1.4666999999999999</v>
      </c>
      <c r="H16" s="8">
        <v>0.65480000000000005</v>
      </c>
      <c r="I16" s="9">
        <v>-0.33250000000000002</v>
      </c>
      <c r="J16" s="9">
        <v>-1.2306999999999999</v>
      </c>
      <c r="K16" s="9">
        <v>-1.7990999999999999</v>
      </c>
      <c r="L16" s="9">
        <v>-1.8855</v>
      </c>
      <c r="M16" s="9">
        <v>-1.4666999999999999</v>
      </c>
      <c r="N16" s="9">
        <v>-0.65480000000000005</v>
      </c>
      <c r="Q16" s="2">
        <v>10</v>
      </c>
      <c r="R16" s="8">
        <v>3.5000000000000001E-3</v>
      </c>
      <c r="S16" s="8">
        <v>1.29E-2</v>
      </c>
      <c r="T16" s="8">
        <v>1.8800000000000001E-2</v>
      </c>
      <c r="U16" s="8">
        <v>1.9699999999999999E-2</v>
      </c>
      <c r="V16" s="8">
        <v>1.5299999999999999E-2</v>
      </c>
      <c r="W16" s="8">
        <v>6.7999999999999996E-3</v>
      </c>
      <c r="X16" s="9">
        <v>-3.5000000000000001E-3</v>
      </c>
      <c r="Y16" s="9">
        <v>-1.29E-2</v>
      </c>
      <c r="Z16" s="9">
        <v>-1.8800000000000001E-2</v>
      </c>
      <c r="AA16" s="9">
        <v>-1.9699999999999999E-2</v>
      </c>
      <c r="AB16" s="9">
        <v>-1.5299999999999999E-2</v>
      </c>
      <c r="AC16" s="9">
        <v>-6.7999999999999996E-3</v>
      </c>
      <c r="AF16" s="2">
        <v>10</v>
      </c>
      <c r="AG16" s="25">
        <v>-1.6449999999999999E-2</v>
      </c>
      <c r="AH16" s="25">
        <v>-1.2789999999999999E-2</v>
      </c>
      <c r="AI16" s="25">
        <v>-5.7099999999999998E-3</v>
      </c>
      <c r="AJ16" s="25">
        <v>2.8999999999999998E-3</v>
      </c>
      <c r="AK16" s="25">
        <v>1.073E-2</v>
      </c>
      <c r="AL16" s="25">
        <v>1.5689999999999999E-2</v>
      </c>
      <c r="AM16" s="26">
        <v>1.6449999999999999E-2</v>
      </c>
      <c r="AN16" s="26">
        <v>1.2789999999999999E-2</v>
      </c>
      <c r="AO16" s="26">
        <v>5.7099999999999998E-3</v>
      </c>
      <c r="AP16" s="25">
        <v>-2.8999999999999998E-3</v>
      </c>
      <c r="AQ16" s="25">
        <v>-1.073E-2</v>
      </c>
      <c r="AR16" s="25">
        <v>-1.5689999999999999E-2</v>
      </c>
      <c r="AU16" s="2">
        <v>10</v>
      </c>
      <c r="AV16" s="25">
        <v>-1.3999999999999999E-4</v>
      </c>
      <c r="AW16" s="25">
        <v>-1.1E-4</v>
      </c>
      <c r="AX16" s="25">
        <v>-5.0000000000000002E-5</v>
      </c>
      <c r="AY16" s="25">
        <v>2.0000000000000002E-5</v>
      </c>
      <c r="AZ16" s="25">
        <v>9.0000000000000006E-5</v>
      </c>
      <c r="BA16" s="25">
        <v>1.2999999999999999E-4</v>
      </c>
      <c r="BB16" s="26">
        <v>1.3999999999999999E-4</v>
      </c>
      <c r="BC16" s="26">
        <v>1.1E-4</v>
      </c>
      <c r="BD16" s="26">
        <v>5.0000000000000002E-5</v>
      </c>
      <c r="BE16" s="25">
        <v>-2.0000000000000002E-5</v>
      </c>
      <c r="BF16" s="25">
        <v>-9.0000000000000006E-5</v>
      </c>
      <c r="BG16" s="25">
        <v>-1.2999999999999999E-4</v>
      </c>
    </row>
    <row r="17" spans="2:59" ht="16" thickBot="1" x14ac:dyDescent="0.4">
      <c r="B17" s="2">
        <v>11</v>
      </c>
      <c r="C17" s="8">
        <v>0.36530000000000001</v>
      </c>
      <c r="D17" s="8">
        <v>1.2561</v>
      </c>
      <c r="E17" s="8">
        <v>1.8103</v>
      </c>
      <c r="F17" s="8">
        <v>1.8794</v>
      </c>
      <c r="G17" s="8">
        <v>1.4450000000000001</v>
      </c>
      <c r="H17" s="8">
        <v>0.62329999999999997</v>
      </c>
      <c r="I17" s="9">
        <v>-0.36530000000000001</v>
      </c>
      <c r="J17" s="9">
        <v>-1.2561</v>
      </c>
      <c r="K17" s="9">
        <v>-1.8103</v>
      </c>
      <c r="L17" s="9">
        <v>-1.8794</v>
      </c>
      <c r="M17" s="9">
        <v>-1.4450000000000001</v>
      </c>
      <c r="N17" s="9">
        <v>-0.62329999999999997</v>
      </c>
      <c r="Q17" s="2">
        <v>11</v>
      </c>
      <c r="R17" s="8">
        <v>3.8E-3</v>
      </c>
      <c r="S17" s="8">
        <v>1.3100000000000001E-2</v>
      </c>
      <c r="T17" s="8">
        <v>1.89E-2</v>
      </c>
      <c r="U17" s="8">
        <v>1.9599999999999999E-2</v>
      </c>
      <c r="V17" s="8">
        <v>1.5100000000000001E-2</v>
      </c>
      <c r="W17" s="8">
        <v>6.4999999999999997E-3</v>
      </c>
      <c r="X17" s="9">
        <v>-3.8E-3</v>
      </c>
      <c r="Y17" s="9">
        <v>-1.3100000000000001E-2</v>
      </c>
      <c r="Z17" s="9">
        <v>-1.89E-2</v>
      </c>
      <c r="AA17" s="9">
        <v>-1.9599999999999999E-2</v>
      </c>
      <c r="AB17" s="9">
        <v>-1.5100000000000001E-2</v>
      </c>
      <c r="AC17" s="9">
        <v>-6.4999999999999997E-3</v>
      </c>
      <c r="AF17" s="2">
        <v>11</v>
      </c>
      <c r="AG17" s="25">
        <v>-1.6389999999999998E-2</v>
      </c>
      <c r="AH17" s="25">
        <v>-1.26E-2</v>
      </c>
      <c r="AI17" s="25">
        <v>-5.4400000000000004E-3</v>
      </c>
      <c r="AJ17" s="25">
        <v>3.1900000000000001E-3</v>
      </c>
      <c r="AK17" s="25">
        <v>1.0959999999999999E-2</v>
      </c>
      <c r="AL17" s="25">
        <v>1.5789999999999998E-2</v>
      </c>
      <c r="AM17" s="26">
        <v>1.6389999999999998E-2</v>
      </c>
      <c r="AN17" s="26">
        <v>1.26E-2</v>
      </c>
      <c r="AO17" s="26">
        <v>5.4400000000000004E-3</v>
      </c>
      <c r="AP17" s="25">
        <v>-3.1900000000000001E-3</v>
      </c>
      <c r="AQ17" s="25">
        <v>-1.0959999999999999E-2</v>
      </c>
      <c r="AR17" s="25">
        <v>-1.5789999999999998E-2</v>
      </c>
      <c r="AU17" s="2">
        <v>11</v>
      </c>
      <c r="AV17" s="25">
        <v>-1.3999999999999999E-4</v>
      </c>
      <c r="AW17" s="25">
        <v>-1.1E-4</v>
      </c>
      <c r="AX17" s="25">
        <v>-5.0000000000000002E-5</v>
      </c>
      <c r="AY17" s="25">
        <v>3.0000000000000001E-5</v>
      </c>
      <c r="AZ17" s="25">
        <v>9.0000000000000006E-5</v>
      </c>
      <c r="BA17" s="25">
        <v>1.2999999999999999E-4</v>
      </c>
      <c r="BB17" s="26">
        <v>1.3999999999999999E-4</v>
      </c>
      <c r="BC17" s="26">
        <v>1.1E-4</v>
      </c>
      <c r="BD17" s="26">
        <v>5.0000000000000002E-5</v>
      </c>
      <c r="BE17" s="25">
        <v>-3.0000000000000001E-5</v>
      </c>
      <c r="BF17" s="25">
        <v>-9.0000000000000006E-5</v>
      </c>
      <c r="BG17" s="25">
        <v>-1.2999999999999999E-4</v>
      </c>
    </row>
    <row r="18" spans="2:59" ht="16" thickBot="1" x14ac:dyDescent="0.4">
      <c r="B18" s="2">
        <v>12</v>
      </c>
      <c r="C18" s="8">
        <v>0.39810000000000001</v>
      </c>
      <c r="D18" s="8">
        <v>1.2810999999999999</v>
      </c>
      <c r="E18" s="8">
        <v>1.8209</v>
      </c>
      <c r="F18" s="8">
        <v>1.8728</v>
      </c>
      <c r="G18" s="8">
        <v>1.4228000000000001</v>
      </c>
      <c r="H18" s="8">
        <v>0.59160000000000001</v>
      </c>
      <c r="I18" s="9">
        <v>-0.39810000000000001</v>
      </c>
      <c r="J18" s="9">
        <v>-1.2810999999999999</v>
      </c>
      <c r="K18" s="9">
        <v>-1.8209</v>
      </c>
      <c r="L18" s="9">
        <v>-1.8728</v>
      </c>
      <c r="M18" s="9">
        <v>-1.4228000000000001</v>
      </c>
      <c r="N18" s="9">
        <v>-0.59160000000000001</v>
      </c>
      <c r="Q18" s="2">
        <v>12</v>
      </c>
      <c r="R18" s="8">
        <v>4.1999999999999997E-3</v>
      </c>
      <c r="S18" s="8">
        <v>1.34E-2</v>
      </c>
      <c r="T18" s="8">
        <v>1.9E-2</v>
      </c>
      <c r="U18" s="8">
        <v>1.9599999999999999E-2</v>
      </c>
      <c r="V18" s="8">
        <v>1.49E-2</v>
      </c>
      <c r="W18" s="8">
        <v>6.1999999999999998E-3</v>
      </c>
      <c r="X18" s="9">
        <v>-4.1999999999999997E-3</v>
      </c>
      <c r="Y18" s="9">
        <v>-1.34E-2</v>
      </c>
      <c r="Z18" s="9">
        <v>-1.9E-2</v>
      </c>
      <c r="AA18" s="9">
        <v>-1.9599999999999999E-2</v>
      </c>
      <c r="AB18" s="9">
        <v>-1.49E-2</v>
      </c>
      <c r="AC18" s="9">
        <v>-6.1999999999999998E-3</v>
      </c>
      <c r="AF18" s="2">
        <v>12</v>
      </c>
      <c r="AG18" s="25">
        <v>-1.634E-2</v>
      </c>
      <c r="AH18" s="25">
        <v>-1.2409999999999999E-2</v>
      </c>
      <c r="AI18" s="25">
        <v>-5.1599999999999997E-3</v>
      </c>
      <c r="AJ18" s="25">
        <v>3.47E-3</v>
      </c>
      <c r="AK18" s="25">
        <v>1.1169999999999999E-2</v>
      </c>
      <c r="AL18" s="25">
        <v>1.5879999999999998E-2</v>
      </c>
      <c r="AM18" s="26">
        <v>1.634E-2</v>
      </c>
      <c r="AN18" s="26">
        <v>1.2409999999999999E-2</v>
      </c>
      <c r="AO18" s="26">
        <v>5.1599999999999997E-3</v>
      </c>
      <c r="AP18" s="25">
        <v>-3.47E-3</v>
      </c>
      <c r="AQ18" s="25">
        <v>-1.1169999999999999E-2</v>
      </c>
      <c r="AR18" s="25">
        <v>-1.5879999999999998E-2</v>
      </c>
      <c r="AU18" s="2">
        <v>12</v>
      </c>
      <c r="AV18" s="25">
        <v>-1.3999999999999999E-4</v>
      </c>
      <c r="AW18" s="25">
        <v>-1E-4</v>
      </c>
      <c r="AX18" s="25">
        <v>-4.0000000000000003E-5</v>
      </c>
      <c r="AY18" s="25">
        <v>3.0000000000000001E-5</v>
      </c>
      <c r="AZ18" s="25">
        <v>9.0000000000000006E-5</v>
      </c>
      <c r="BA18" s="25">
        <v>1.2999999999999999E-4</v>
      </c>
      <c r="BB18" s="26">
        <v>1.3999999999999999E-4</v>
      </c>
      <c r="BC18" s="26">
        <v>1E-4</v>
      </c>
      <c r="BD18" s="26">
        <v>4.0000000000000003E-5</v>
      </c>
      <c r="BE18" s="25">
        <v>-3.0000000000000001E-5</v>
      </c>
      <c r="BF18" s="25">
        <v>-9.0000000000000006E-5</v>
      </c>
      <c r="BG18" s="25">
        <v>-1.2999999999999999E-4</v>
      </c>
    </row>
    <row r="19" spans="2:59" ht="16" thickBot="1" x14ac:dyDescent="0.4">
      <c r="B19" s="2">
        <v>13</v>
      </c>
      <c r="C19" s="8">
        <v>0.43070000000000003</v>
      </c>
      <c r="D19" s="8">
        <v>1.3058000000000001</v>
      </c>
      <c r="E19" s="8">
        <v>1.8309</v>
      </c>
      <c r="F19" s="8">
        <v>1.8654999999999999</v>
      </c>
      <c r="G19" s="8">
        <v>1.4001999999999999</v>
      </c>
      <c r="H19" s="8">
        <v>0.55979999999999996</v>
      </c>
      <c r="I19" s="9">
        <v>-0.43070000000000003</v>
      </c>
      <c r="J19" s="9">
        <v>-1.3058000000000001</v>
      </c>
      <c r="K19" s="9">
        <v>-1.8309</v>
      </c>
      <c r="L19" s="9">
        <v>-1.8654999999999999</v>
      </c>
      <c r="M19" s="9">
        <v>-1.4001999999999999</v>
      </c>
      <c r="N19" s="9">
        <v>-0.55979999999999996</v>
      </c>
      <c r="Q19" s="2">
        <v>13</v>
      </c>
      <c r="R19" s="8">
        <v>4.4999999999999997E-3</v>
      </c>
      <c r="S19" s="8">
        <v>1.3599999999999999E-2</v>
      </c>
      <c r="T19" s="8">
        <v>1.9099999999999999E-2</v>
      </c>
      <c r="U19" s="8">
        <v>1.95E-2</v>
      </c>
      <c r="V19" s="8">
        <v>1.46E-2</v>
      </c>
      <c r="W19" s="8">
        <v>5.7999999999999996E-3</v>
      </c>
      <c r="X19" s="9">
        <v>-4.4999999999999997E-3</v>
      </c>
      <c r="Y19" s="9">
        <v>-1.3599999999999999E-2</v>
      </c>
      <c r="Z19" s="9">
        <v>-1.9099999999999999E-2</v>
      </c>
      <c r="AA19" s="9">
        <v>-1.95E-2</v>
      </c>
      <c r="AB19" s="9">
        <v>-1.46E-2</v>
      </c>
      <c r="AC19" s="9">
        <v>-5.7999999999999996E-3</v>
      </c>
      <c r="AF19" s="2">
        <v>13</v>
      </c>
      <c r="AG19" s="25">
        <v>-1.627E-2</v>
      </c>
      <c r="AH19" s="25">
        <v>-1.221E-2</v>
      </c>
      <c r="AI19" s="25">
        <v>-4.8799999999999998E-3</v>
      </c>
      <c r="AJ19" s="25">
        <v>3.7599999999999999E-3</v>
      </c>
      <c r="AK19" s="25">
        <v>1.1390000000000001E-2</v>
      </c>
      <c r="AL19" s="25">
        <v>1.5970000000000002E-2</v>
      </c>
      <c r="AM19" s="26">
        <v>1.627E-2</v>
      </c>
      <c r="AN19" s="26">
        <v>1.221E-2</v>
      </c>
      <c r="AO19" s="26">
        <v>4.8799999999999998E-3</v>
      </c>
      <c r="AP19" s="25">
        <v>-3.7599999999999999E-3</v>
      </c>
      <c r="AQ19" s="25">
        <v>-1.1390000000000001E-2</v>
      </c>
      <c r="AR19" s="25">
        <v>-1.5970000000000002E-2</v>
      </c>
      <c r="AU19" s="2">
        <v>13</v>
      </c>
      <c r="AV19" s="25">
        <v>-1.3999999999999999E-4</v>
      </c>
      <c r="AW19" s="25">
        <v>-1E-4</v>
      </c>
      <c r="AX19" s="25">
        <v>-4.0000000000000003E-5</v>
      </c>
      <c r="AY19" s="25">
        <v>3.0000000000000001E-5</v>
      </c>
      <c r="AZ19" s="25">
        <v>1E-4</v>
      </c>
      <c r="BA19" s="25">
        <v>1.2999999999999999E-4</v>
      </c>
      <c r="BB19" s="26">
        <v>1.3999999999999999E-4</v>
      </c>
      <c r="BC19" s="26">
        <v>1E-4</v>
      </c>
      <c r="BD19" s="26">
        <v>4.0000000000000003E-5</v>
      </c>
      <c r="BE19" s="25">
        <v>-3.0000000000000001E-5</v>
      </c>
      <c r="BF19" s="25">
        <v>-1E-4</v>
      </c>
      <c r="BG19" s="25">
        <v>-1.2999999999999999E-4</v>
      </c>
    </row>
    <row r="20" spans="2:59" ht="16" thickBot="1" x14ac:dyDescent="0.4">
      <c r="B20" s="2">
        <v>14</v>
      </c>
      <c r="C20" s="8">
        <v>0.4632</v>
      </c>
      <c r="D20" s="8">
        <v>1.33</v>
      </c>
      <c r="E20" s="8">
        <v>1.8404</v>
      </c>
      <c r="F20" s="8">
        <v>1.8576999999999999</v>
      </c>
      <c r="G20" s="8">
        <v>1.3772</v>
      </c>
      <c r="H20" s="8">
        <v>0.52769999999999995</v>
      </c>
      <c r="I20" s="9">
        <v>-0.4632</v>
      </c>
      <c r="J20" s="9">
        <v>-1.33</v>
      </c>
      <c r="K20" s="9">
        <v>-1.8404</v>
      </c>
      <c r="L20" s="9">
        <v>-1.8576999999999999</v>
      </c>
      <c r="M20" s="9">
        <v>-1.3772</v>
      </c>
      <c r="N20" s="9">
        <v>-0.52769999999999995</v>
      </c>
      <c r="Q20" s="2">
        <v>14</v>
      </c>
      <c r="R20" s="8">
        <v>4.7999999999999996E-3</v>
      </c>
      <c r="S20" s="8">
        <v>1.3899999999999999E-2</v>
      </c>
      <c r="T20" s="8">
        <v>1.9199999999999998E-2</v>
      </c>
      <c r="U20" s="8">
        <v>1.9400000000000001E-2</v>
      </c>
      <c r="V20" s="8">
        <v>1.44E-2</v>
      </c>
      <c r="W20" s="8">
        <v>5.4999999999999997E-3</v>
      </c>
      <c r="X20" s="9">
        <v>-4.7999999999999996E-3</v>
      </c>
      <c r="Y20" s="9">
        <v>-1.3899999999999999E-2</v>
      </c>
      <c r="Z20" s="9">
        <v>-1.9199999999999998E-2</v>
      </c>
      <c r="AA20" s="9">
        <v>-1.9400000000000001E-2</v>
      </c>
      <c r="AB20" s="9">
        <v>-1.44E-2</v>
      </c>
      <c r="AC20" s="9">
        <v>-5.4999999999999997E-3</v>
      </c>
      <c r="AF20" s="2">
        <v>14</v>
      </c>
      <c r="AG20" s="25">
        <v>-1.6199999999999999E-2</v>
      </c>
      <c r="AH20" s="25">
        <v>-1.201E-2</v>
      </c>
      <c r="AI20" s="25">
        <v>-4.5999999999999999E-3</v>
      </c>
      <c r="AJ20" s="25">
        <v>4.0400000000000002E-3</v>
      </c>
      <c r="AK20" s="25">
        <v>1.1599999999999999E-2</v>
      </c>
      <c r="AL20" s="25">
        <v>1.6049999999999998E-2</v>
      </c>
      <c r="AM20" s="26">
        <v>1.6199999999999999E-2</v>
      </c>
      <c r="AN20" s="26">
        <v>1.201E-2</v>
      </c>
      <c r="AO20" s="26">
        <v>4.5999999999999999E-3</v>
      </c>
      <c r="AP20" s="25">
        <v>-4.0400000000000002E-3</v>
      </c>
      <c r="AQ20" s="25">
        <v>-1.1599999999999999E-2</v>
      </c>
      <c r="AR20" s="25">
        <v>-1.6049999999999998E-2</v>
      </c>
      <c r="AU20" s="2">
        <v>14</v>
      </c>
      <c r="AV20" s="25">
        <v>-1.3999999999999999E-4</v>
      </c>
      <c r="AW20" s="25">
        <v>-1E-4</v>
      </c>
      <c r="AX20" s="25">
        <v>-4.0000000000000003E-5</v>
      </c>
      <c r="AY20" s="25">
        <v>3.0000000000000001E-5</v>
      </c>
      <c r="AZ20" s="25">
        <v>1E-4</v>
      </c>
      <c r="BA20" s="25">
        <v>1.2999999999999999E-4</v>
      </c>
      <c r="BB20" s="26">
        <v>1.3999999999999999E-4</v>
      </c>
      <c r="BC20" s="26">
        <v>1E-4</v>
      </c>
      <c r="BD20" s="26">
        <v>4.0000000000000003E-5</v>
      </c>
      <c r="BE20" s="25">
        <v>-3.0000000000000001E-5</v>
      </c>
      <c r="BF20" s="25">
        <v>-1E-4</v>
      </c>
      <c r="BG20" s="25">
        <v>-1.2999999999999999E-4</v>
      </c>
    </row>
    <row r="21" spans="2:59" ht="16" thickBot="1" x14ac:dyDescent="0.4">
      <c r="B21" s="2">
        <v>15</v>
      </c>
      <c r="C21" s="8">
        <v>0.4955</v>
      </c>
      <c r="D21" s="8">
        <v>1.3537999999999999</v>
      </c>
      <c r="E21" s="8">
        <v>1.8493999999999999</v>
      </c>
      <c r="F21" s="8">
        <v>1.8493999999999999</v>
      </c>
      <c r="G21" s="8">
        <v>1.3537999999999999</v>
      </c>
      <c r="H21" s="8">
        <v>0.4955</v>
      </c>
      <c r="I21" s="9">
        <v>-0.4955</v>
      </c>
      <c r="J21" s="9">
        <v>-1.3537999999999999</v>
      </c>
      <c r="K21" s="9">
        <v>-1.8493999999999999</v>
      </c>
      <c r="L21" s="9">
        <v>-1.8493999999999999</v>
      </c>
      <c r="M21" s="9">
        <v>-1.3537999999999999</v>
      </c>
      <c r="N21" s="9">
        <v>-0.4955</v>
      </c>
      <c r="Q21" s="2">
        <v>15</v>
      </c>
      <c r="R21" s="8">
        <v>5.1999999999999998E-3</v>
      </c>
      <c r="S21" s="8">
        <v>1.41E-2</v>
      </c>
      <c r="T21" s="8">
        <v>1.9300000000000001E-2</v>
      </c>
      <c r="U21" s="8">
        <v>1.9300000000000001E-2</v>
      </c>
      <c r="V21" s="8">
        <v>1.41E-2</v>
      </c>
      <c r="W21" s="8">
        <v>5.1999999999999998E-3</v>
      </c>
      <c r="X21" s="9">
        <v>-5.1999999999999998E-3</v>
      </c>
      <c r="Y21" s="9">
        <v>-1.41E-2</v>
      </c>
      <c r="Z21" s="9">
        <v>-1.9300000000000001E-2</v>
      </c>
      <c r="AA21" s="9">
        <v>-1.9300000000000001E-2</v>
      </c>
      <c r="AB21" s="9">
        <v>-1.41E-2</v>
      </c>
      <c r="AC21" s="9">
        <v>-5.1999999999999998E-3</v>
      </c>
      <c r="AF21" s="2">
        <v>15</v>
      </c>
      <c r="AG21" s="25">
        <v>-1.6129999999999999E-2</v>
      </c>
      <c r="AH21" s="25">
        <v>-1.1809999999999999E-2</v>
      </c>
      <c r="AI21" s="25">
        <v>-4.3200000000000001E-3</v>
      </c>
      <c r="AJ21" s="25">
        <v>4.3200000000000001E-3</v>
      </c>
      <c r="AK21" s="25">
        <v>1.1809999999999999E-2</v>
      </c>
      <c r="AL21" s="25">
        <v>1.6129999999999999E-2</v>
      </c>
      <c r="AM21" s="26">
        <v>1.6129999999999999E-2</v>
      </c>
      <c r="AN21" s="26">
        <v>1.1809999999999999E-2</v>
      </c>
      <c r="AO21" s="26">
        <v>4.3200000000000001E-3</v>
      </c>
      <c r="AP21" s="25">
        <v>-4.3200000000000001E-3</v>
      </c>
      <c r="AQ21" s="25">
        <v>-1.1809999999999999E-2</v>
      </c>
      <c r="AR21" s="25">
        <v>-1.6129999999999999E-2</v>
      </c>
      <c r="AU21" s="2">
        <v>15</v>
      </c>
      <c r="AV21" s="25">
        <v>-1.3999999999999999E-4</v>
      </c>
      <c r="AW21" s="25">
        <v>-1E-4</v>
      </c>
      <c r="AX21" s="25">
        <v>-4.0000000000000003E-5</v>
      </c>
      <c r="AY21" s="25">
        <v>4.0000000000000003E-5</v>
      </c>
      <c r="AZ21" s="25">
        <v>1E-4</v>
      </c>
      <c r="BA21" s="25">
        <v>1.3999999999999999E-4</v>
      </c>
      <c r="BB21" s="26">
        <v>1.3999999999999999E-4</v>
      </c>
      <c r="BC21" s="26">
        <v>1E-4</v>
      </c>
      <c r="BD21" s="26">
        <v>4.0000000000000003E-5</v>
      </c>
      <c r="BE21" s="25">
        <v>-4.0000000000000003E-5</v>
      </c>
      <c r="BF21" s="25">
        <v>-1E-4</v>
      </c>
      <c r="BG21" s="25">
        <v>-1.3999999999999999E-4</v>
      </c>
    </row>
    <row r="22" spans="2:59" ht="16" thickBot="1" x14ac:dyDescent="0.4">
      <c r="B22" s="2">
        <v>16</v>
      </c>
      <c r="C22" s="8">
        <v>0.52769999999999995</v>
      </c>
      <c r="D22" s="8">
        <v>1.3772</v>
      </c>
      <c r="E22" s="8">
        <v>1.8576999999999999</v>
      </c>
      <c r="F22" s="8">
        <v>1.8404</v>
      </c>
      <c r="G22" s="8">
        <v>1.33</v>
      </c>
      <c r="H22" s="8">
        <v>0.4632</v>
      </c>
      <c r="I22" s="9">
        <v>-0.52769999999999995</v>
      </c>
      <c r="J22" s="9">
        <v>-1.3772</v>
      </c>
      <c r="K22" s="9">
        <v>-1.8576999999999999</v>
      </c>
      <c r="L22" s="9">
        <v>-1.8404</v>
      </c>
      <c r="M22" s="9">
        <v>-1.33</v>
      </c>
      <c r="N22" s="9">
        <v>-0.4632</v>
      </c>
      <c r="Q22" s="2">
        <v>16</v>
      </c>
      <c r="R22" s="8">
        <v>5.4999999999999997E-3</v>
      </c>
      <c r="S22" s="8">
        <v>1.44E-2</v>
      </c>
      <c r="T22" s="8">
        <v>1.9400000000000001E-2</v>
      </c>
      <c r="U22" s="8">
        <v>1.9199999999999998E-2</v>
      </c>
      <c r="V22" s="8">
        <v>1.3899999999999999E-2</v>
      </c>
      <c r="W22" s="8">
        <v>4.7999999999999996E-3</v>
      </c>
      <c r="X22" s="9">
        <v>-5.4999999999999997E-3</v>
      </c>
      <c r="Y22" s="9">
        <v>-1.44E-2</v>
      </c>
      <c r="Z22" s="9">
        <v>-1.9400000000000001E-2</v>
      </c>
      <c r="AA22" s="9">
        <v>-1.9199999999999998E-2</v>
      </c>
      <c r="AB22" s="9">
        <v>-1.3899999999999999E-2</v>
      </c>
      <c r="AC22" s="9">
        <v>-4.7999999999999996E-3</v>
      </c>
      <c r="AF22" s="2">
        <v>16</v>
      </c>
      <c r="AG22" s="25">
        <v>-1.6049999999999998E-2</v>
      </c>
      <c r="AH22" s="25">
        <v>-1.1599999999999999E-2</v>
      </c>
      <c r="AI22" s="25">
        <v>-4.0400000000000002E-3</v>
      </c>
      <c r="AJ22" s="25">
        <v>4.5999999999999999E-3</v>
      </c>
      <c r="AK22" s="25">
        <v>1.201E-2</v>
      </c>
      <c r="AL22" s="25">
        <v>1.6199999999999999E-2</v>
      </c>
      <c r="AM22" s="26">
        <v>1.6049999999999998E-2</v>
      </c>
      <c r="AN22" s="26">
        <v>1.1599999999999999E-2</v>
      </c>
      <c r="AO22" s="26">
        <v>4.0400000000000002E-3</v>
      </c>
      <c r="AP22" s="25">
        <v>-4.5999999999999999E-3</v>
      </c>
      <c r="AQ22" s="25">
        <v>-1.201E-2</v>
      </c>
      <c r="AR22" s="25">
        <v>-1.6199999999999999E-2</v>
      </c>
      <c r="AU22" s="2">
        <v>16</v>
      </c>
      <c r="AV22" s="25">
        <v>-1.2999999999999999E-4</v>
      </c>
      <c r="AW22" s="25">
        <v>-1E-4</v>
      </c>
      <c r="AX22" s="25">
        <v>-3.0000000000000001E-5</v>
      </c>
      <c r="AY22" s="25">
        <v>4.0000000000000003E-5</v>
      </c>
      <c r="AZ22" s="25">
        <v>1E-4</v>
      </c>
      <c r="BA22" s="25">
        <v>1.3999999999999999E-4</v>
      </c>
      <c r="BB22" s="26">
        <v>1.2999999999999999E-4</v>
      </c>
      <c r="BC22" s="26">
        <v>1E-4</v>
      </c>
      <c r="BD22" s="26">
        <v>3.0000000000000001E-5</v>
      </c>
      <c r="BE22" s="25">
        <v>-4.0000000000000003E-5</v>
      </c>
      <c r="BF22" s="25">
        <v>-1E-4</v>
      </c>
      <c r="BG22" s="25">
        <v>-1.3999999999999999E-4</v>
      </c>
    </row>
    <row r="23" spans="2:59" ht="16" thickBot="1" x14ac:dyDescent="0.4">
      <c r="B23" s="2">
        <v>17</v>
      </c>
      <c r="C23" s="8">
        <v>0.55979999999999996</v>
      </c>
      <c r="D23" s="8">
        <v>1.4001999999999999</v>
      </c>
      <c r="E23" s="8">
        <v>1.8654999999999999</v>
      </c>
      <c r="F23" s="8">
        <v>1.8309</v>
      </c>
      <c r="G23" s="8">
        <v>1.3058000000000001</v>
      </c>
      <c r="H23" s="8">
        <v>0.43070000000000003</v>
      </c>
      <c r="I23" s="9">
        <v>-0.55979999999999996</v>
      </c>
      <c r="J23" s="9">
        <v>-1.4001999999999999</v>
      </c>
      <c r="K23" s="9">
        <v>-1.8654999999999999</v>
      </c>
      <c r="L23" s="9">
        <v>-1.8309</v>
      </c>
      <c r="M23" s="9">
        <v>-1.3058000000000001</v>
      </c>
      <c r="N23" s="9">
        <v>-0.43070000000000003</v>
      </c>
      <c r="Q23" s="2">
        <v>17</v>
      </c>
      <c r="R23" s="8">
        <v>5.7999999999999996E-3</v>
      </c>
      <c r="S23" s="8">
        <v>1.46E-2</v>
      </c>
      <c r="T23" s="8">
        <v>1.95E-2</v>
      </c>
      <c r="U23" s="8">
        <v>1.9099999999999999E-2</v>
      </c>
      <c r="V23" s="8">
        <v>1.3599999999999999E-2</v>
      </c>
      <c r="W23" s="8">
        <v>4.4999999999999997E-3</v>
      </c>
      <c r="X23" s="9">
        <v>-5.7999999999999996E-3</v>
      </c>
      <c r="Y23" s="9">
        <v>-1.46E-2</v>
      </c>
      <c r="Z23" s="9">
        <v>-1.95E-2</v>
      </c>
      <c r="AA23" s="9">
        <v>-1.9099999999999999E-2</v>
      </c>
      <c r="AB23" s="9">
        <v>-1.3599999999999999E-2</v>
      </c>
      <c r="AC23" s="9">
        <v>-4.4999999999999997E-3</v>
      </c>
      <c r="AF23" s="2">
        <v>17</v>
      </c>
      <c r="AG23" s="25">
        <v>-1.5970000000000002E-2</v>
      </c>
      <c r="AH23" s="25">
        <v>-1.1390000000000001E-2</v>
      </c>
      <c r="AI23" s="25">
        <v>-3.7599999999999999E-3</v>
      </c>
      <c r="AJ23" s="25">
        <v>4.8799999999999998E-3</v>
      </c>
      <c r="AK23" s="25">
        <v>1.221E-2</v>
      </c>
      <c r="AL23" s="25">
        <v>1.627E-2</v>
      </c>
      <c r="AM23" s="26">
        <v>1.5970000000000002E-2</v>
      </c>
      <c r="AN23" s="26">
        <v>1.1390000000000001E-2</v>
      </c>
      <c r="AO23" s="26">
        <v>3.7599999999999999E-3</v>
      </c>
      <c r="AP23" s="25">
        <v>-4.8799999999999998E-3</v>
      </c>
      <c r="AQ23" s="25">
        <v>-1.221E-2</v>
      </c>
      <c r="AR23" s="25">
        <v>-1.627E-2</v>
      </c>
      <c r="AU23" s="2">
        <v>17</v>
      </c>
      <c r="AV23" s="25">
        <v>-1.2999999999999999E-4</v>
      </c>
      <c r="AW23" s="25">
        <v>-1E-4</v>
      </c>
      <c r="AX23" s="25">
        <v>-3.0000000000000001E-5</v>
      </c>
      <c r="AY23" s="25">
        <v>4.0000000000000003E-5</v>
      </c>
      <c r="AZ23" s="25">
        <v>1E-4</v>
      </c>
      <c r="BA23" s="25">
        <v>1.3999999999999999E-4</v>
      </c>
      <c r="BB23" s="26">
        <v>1.2999999999999999E-4</v>
      </c>
      <c r="BC23" s="26">
        <v>1E-4</v>
      </c>
      <c r="BD23" s="26">
        <v>3.0000000000000001E-5</v>
      </c>
      <c r="BE23" s="25">
        <v>-4.0000000000000003E-5</v>
      </c>
      <c r="BF23" s="25">
        <v>-1E-4</v>
      </c>
      <c r="BG23" s="25">
        <v>-1.3999999999999999E-4</v>
      </c>
    </row>
    <row r="24" spans="2:59" ht="16" thickBot="1" x14ac:dyDescent="0.4">
      <c r="B24" s="2">
        <v>18</v>
      </c>
      <c r="C24" s="8">
        <v>0.59160000000000001</v>
      </c>
      <c r="D24" s="8">
        <v>1.4228000000000001</v>
      </c>
      <c r="E24" s="8">
        <v>1.8728</v>
      </c>
      <c r="F24" s="8">
        <v>1.8209</v>
      </c>
      <c r="G24" s="8">
        <v>1.2810999999999999</v>
      </c>
      <c r="H24" s="8">
        <v>0.39810000000000001</v>
      </c>
      <c r="I24" s="9">
        <v>-0.59160000000000001</v>
      </c>
      <c r="J24" s="9">
        <v>-1.4228000000000001</v>
      </c>
      <c r="K24" s="9">
        <v>-1.8728</v>
      </c>
      <c r="L24" s="9">
        <v>-1.8209</v>
      </c>
      <c r="M24" s="9">
        <v>-1.2810999999999999</v>
      </c>
      <c r="N24" s="9">
        <v>-0.39810000000000001</v>
      </c>
      <c r="Q24" s="2">
        <v>18</v>
      </c>
      <c r="R24" s="8">
        <v>6.1999999999999998E-3</v>
      </c>
      <c r="S24" s="8">
        <v>1.49E-2</v>
      </c>
      <c r="T24" s="8">
        <v>1.9599999999999999E-2</v>
      </c>
      <c r="U24" s="8">
        <v>1.9E-2</v>
      </c>
      <c r="V24" s="8">
        <v>1.34E-2</v>
      </c>
      <c r="W24" s="8">
        <v>4.1999999999999997E-3</v>
      </c>
      <c r="X24" s="9">
        <v>-6.1999999999999998E-3</v>
      </c>
      <c r="Y24" s="9">
        <v>-1.49E-2</v>
      </c>
      <c r="Z24" s="9">
        <v>-1.9599999999999999E-2</v>
      </c>
      <c r="AA24" s="9">
        <v>-1.9E-2</v>
      </c>
      <c r="AB24" s="9">
        <v>-1.34E-2</v>
      </c>
      <c r="AC24" s="9">
        <v>-4.1999999999999997E-3</v>
      </c>
      <c r="AF24" s="2">
        <v>18</v>
      </c>
      <c r="AG24" s="25">
        <v>-1.5879999999999998E-2</v>
      </c>
      <c r="AH24" s="25">
        <v>-1.1169999999999999E-2</v>
      </c>
      <c r="AI24" s="25">
        <v>-3.47E-3</v>
      </c>
      <c r="AJ24" s="25">
        <v>5.1599999999999997E-3</v>
      </c>
      <c r="AK24" s="25">
        <v>1.2409999999999999E-2</v>
      </c>
      <c r="AL24" s="25">
        <v>1.634E-2</v>
      </c>
      <c r="AM24" s="26">
        <v>1.5879999999999998E-2</v>
      </c>
      <c r="AN24" s="26">
        <v>1.1169999999999999E-2</v>
      </c>
      <c r="AO24" s="26">
        <v>3.47E-3</v>
      </c>
      <c r="AP24" s="25">
        <v>-5.1599999999999997E-3</v>
      </c>
      <c r="AQ24" s="25">
        <v>-1.2409999999999999E-2</v>
      </c>
      <c r="AR24" s="25">
        <v>-1.634E-2</v>
      </c>
      <c r="AU24" s="2">
        <v>18</v>
      </c>
      <c r="AV24" s="25">
        <v>-1.2999999999999999E-4</v>
      </c>
      <c r="AW24" s="25">
        <v>-9.0000000000000006E-5</v>
      </c>
      <c r="AX24" s="25">
        <v>-3.0000000000000001E-5</v>
      </c>
      <c r="AY24" s="25">
        <v>4.0000000000000003E-5</v>
      </c>
      <c r="AZ24" s="25">
        <v>1E-4</v>
      </c>
      <c r="BA24" s="25">
        <v>1.3999999999999999E-4</v>
      </c>
      <c r="BB24" s="26">
        <v>1.2999999999999999E-4</v>
      </c>
      <c r="BC24" s="26">
        <v>9.0000000000000006E-5</v>
      </c>
      <c r="BD24" s="26">
        <v>3.0000000000000001E-5</v>
      </c>
      <c r="BE24" s="25">
        <v>-4.0000000000000003E-5</v>
      </c>
      <c r="BF24" s="25">
        <v>-1E-4</v>
      </c>
      <c r="BG24" s="25">
        <v>-1.3999999999999999E-4</v>
      </c>
    </row>
    <row r="25" spans="2:59" ht="16" thickBot="1" x14ac:dyDescent="0.4">
      <c r="B25" s="2">
        <v>19</v>
      </c>
      <c r="C25" s="8">
        <v>0.62329999999999997</v>
      </c>
      <c r="D25" s="8">
        <v>1.4450000000000001</v>
      </c>
      <c r="E25" s="8">
        <v>1.8794</v>
      </c>
      <c r="F25" s="8">
        <v>1.8103</v>
      </c>
      <c r="G25" s="8">
        <v>1.2561</v>
      </c>
      <c r="H25" s="8">
        <v>0.36530000000000001</v>
      </c>
      <c r="I25" s="9">
        <v>-0.62329999999999997</v>
      </c>
      <c r="J25" s="9">
        <v>-1.4450000000000001</v>
      </c>
      <c r="K25" s="9">
        <v>-1.8794</v>
      </c>
      <c r="L25" s="9">
        <v>-1.8103</v>
      </c>
      <c r="M25" s="9">
        <v>-1.2561</v>
      </c>
      <c r="N25" s="9">
        <v>-0.36530000000000001</v>
      </c>
      <c r="Q25" s="2">
        <v>19</v>
      </c>
      <c r="R25" s="8">
        <v>6.4999999999999997E-3</v>
      </c>
      <c r="S25" s="8">
        <v>1.5100000000000001E-2</v>
      </c>
      <c r="T25" s="8">
        <v>1.9599999999999999E-2</v>
      </c>
      <c r="U25" s="8">
        <v>1.89E-2</v>
      </c>
      <c r="V25" s="8">
        <v>1.3100000000000001E-2</v>
      </c>
      <c r="W25" s="8">
        <v>3.8E-3</v>
      </c>
      <c r="X25" s="9">
        <v>-6.4999999999999997E-3</v>
      </c>
      <c r="Y25" s="9">
        <v>-1.5100000000000001E-2</v>
      </c>
      <c r="Z25" s="9">
        <v>-1.9599999999999999E-2</v>
      </c>
      <c r="AA25" s="9">
        <v>-1.89E-2</v>
      </c>
      <c r="AB25" s="9">
        <v>-1.3100000000000001E-2</v>
      </c>
      <c r="AC25" s="9">
        <v>-3.8E-3</v>
      </c>
      <c r="AF25" s="2">
        <v>19</v>
      </c>
      <c r="AG25" s="25">
        <v>-1.5789999999999998E-2</v>
      </c>
      <c r="AH25" s="25">
        <v>-1.0959999999999999E-2</v>
      </c>
      <c r="AI25" s="25">
        <v>-3.1900000000000001E-3</v>
      </c>
      <c r="AJ25" s="25">
        <v>5.4400000000000004E-3</v>
      </c>
      <c r="AK25" s="25">
        <v>1.26E-2</v>
      </c>
      <c r="AL25" s="25">
        <v>1.6389999999999998E-2</v>
      </c>
      <c r="AM25" s="26">
        <v>1.5789999999999998E-2</v>
      </c>
      <c r="AN25" s="26">
        <v>1.0959999999999999E-2</v>
      </c>
      <c r="AO25" s="26">
        <v>3.1900000000000001E-3</v>
      </c>
      <c r="AP25" s="25">
        <v>-5.4400000000000004E-3</v>
      </c>
      <c r="AQ25" s="25">
        <v>-1.26E-2</v>
      </c>
      <c r="AR25" s="25">
        <v>-1.6389999999999998E-2</v>
      </c>
      <c r="AU25" s="2">
        <v>19</v>
      </c>
      <c r="AV25" s="25">
        <v>-1.2999999999999999E-4</v>
      </c>
      <c r="AW25" s="25">
        <v>-9.0000000000000006E-5</v>
      </c>
      <c r="AX25" s="25">
        <v>-3.0000000000000001E-5</v>
      </c>
      <c r="AY25" s="25">
        <v>5.0000000000000002E-5</v>
      </c>
      <c r="AZ25" s="25">
        <v>1.1E-4</v>
      </c>
      <c r="BA25" s="25">
        <v>1.3999999999999999E-4</v>
      </c>
      <c r="BB25" s="26">
        <v>1.2999999999999999E-4</v>
      </c>
      <c r="BC25" s="26">
        <v>9.0000000000000006E-5</v>
      </c>
      <c r="BD25" s="26">
        <v>3.0000000000000001E-5</v>
      </c>
      <c r="BE25" s="25">
        <v>-5.0000000000000002E-5</v>
      </c>
      <c r="BF25" s="25">
        <v>-1.1E-4</v>
      </c>
      <c r="BG25" s="25">
        <v>-1.3999999999999999E-4</v>
      </c>
    </row>
    <row r="26" spans="2:59" ht="16" thickBot="1" x14ac:dyDescent="0.4">
      <c r="B26" s="2">
        <v>20</v>
      </c>
      <c r="C26" s="8">
        <v>0.65480000000000005</v>
      </c>
      <c r="D26" s="8">
        <v>1.4666999999999999</v>
      </c>
      <c r="E26" s="8">
        <v>1.8855</v>
      </c>
      <c r="F26" s="8">
        <v>1.7990999999999999</v>
      </c>
      <c r="G26" s="8">
        <v>1.2306999999999999</v>
      </c>
      <c r="H26" s="8">
        <v>0.33250000000000002</v>
      </c>
      <c r="I26" s="9">
        <v>-0.65480000000000005</v>
      </c>
      <c r="J26" s="8">
        <v>-1.4666999999999999</v>
      </c>
      <c r="K26" s="9">
        <v>-1.8855</v>
      </c>
      <c r="L26" s="9">
        <v>-1.7990999999999999</v>
      </c>
      <c r="M26" s="9">
        <v>-1.2306999999999999</v>
      </c>
      <c r="N26" s="9">
        <v>-0.33250000000000002</v>
      </c>
      <c r="Q26" s="2">
        <v>20</v>
      </c>
      <c r="R26" s="8">
        <v>6.7999999999999996E-3</v>
      </c>
      <c r="S26" s="8">
        <v>1.5299999999999999E-2</v>
      </c>
      <c r="T26" s="8">
        <v>1.9699999999999999E-2</v>
      </c>
      <c r="U26" s="8">
        <v>1.8800000000000001E-2</v>
      </c>
      <c r="V26" s="8">
        <v>1.29E-2</v>
      </c>
      <c r="W26" s="8">
        <v>3.5000000000000001E-3</v>
      </c>
      <c r="X26" s="9">
        <v>-6.7999999999999996E-3</v>
      </c>
      <c r="Y26" s="8">
        <v>-1.5299999999999999E-2</v>
      </c>
      <c r="Z26" s="9">
        <v>-1.9699999999999999E-2</v>
      </c>
      <c r="AA26" s="9">
        <v>-1.8800000000000001E-2</v>
      </c>
      <c r="AB26" s="9">
        <v>-1.29E-2</v>
      </c>
      <c r="AC26" s="9">
        <v>-3.5000000000000001E-3</v>
      </c>
      <c r="AF26" s="2">
        <v>20</v>
      </c>
      <c r="AG26" s="25">
        <v>-1.5689999999999999E-2</v>
      </c>
      <c r="AH26" s="25">
        <v>-1.073E-2</v>
      </c>
      <c r="AI26" s="25">
        <v>-2.8999999999999998E-3</v>
      </c>
      <c r="AJ26" s="25">
        <v>5.7099999999999998E-3</v>
      </c>
      <c r="AK26" s="25">
        <v>1.2789999999999999E-2</v>
      </c>
      <c r="AL26" s="25">
        <v>1.6449999999999999E-2</v>
      </c>
      <c r="AM26" s="26">
        <v>1.5689999999999999E-2</v>
      </c>
      <c r="AN26" s="25">
        <v>1.073E-2</v>
      </c>
      <c r="AO26" s="26">
        <v>2.8999999999999998E-3</v>
      </c>
      <c r="AP26" s="25">
        <v>-5.7099999999999998E-3</v>
      </c>
      <c r="AQ26" s="25">
        <v>-1.2789999999999999E-2</v>
      </c>
      <c r="AR26" s="25">
        <v>-1.6449999999999999E-2</v>
      </c>
      <c r="AU26" s="2">
        <v>20</v>
      </c>
      <c r="AV26" s="25">
        <v>-1.2999999999999999E-4</v>
      </c>
      <c r="AW26" s="25">
        <v>-9.0000000000000006E-5</v>
      </c>
      <c r="AX26" s="25">
        <v>-2.0000000000000002E-5</v>
      </c>
      <c r="AY26" s="25">
        <v>5.0000000000000002E-5</v>
      </c>
      <c r="AZ26" s="25">
        <v>1.1E-4</v>
      </c>
      <c r="BA26" s="25">
        <v>1.3999999999999999E-4</v>
      </c>
      <c r="BB26" s="26">
        <v>1.2999999999999999E-4</v>
      </c>
      <c r="BC26" s="25">
        <v>9.0000000000000006E-5</v>
      </c>
      <c r="BD26" s="26">
        <v>2.0000000000000002E-5</v>
      </c>
      <c r="BE26" s="25">
        <v>-5.0000000000000002E-5</v>
      </c>
      <c r="BF26" s="25">
        <v>-1.1E-4</v>
      </c>
      <c r="BG26" s="25">
        <v>-1.3999999999999999E-4</v>
      </c>
    </row>
    <row r="27" spans="2:59" ht="16" thickBot="1" x14ac:dyDescent="0.4">
      <c r="B27" s="2">
        <v>21</v>
      </c>
      <c r="C27" s="8">
        <v>0.68610000000000004</v>
      </c>
      <c r="D27" s="8">
        <v>1.4879</v>
      </c>
      <c r="E27" s="8">
        <v>1.891</v>
      </c>
      <c r="F27" s="8">
        <v>1.7874000000000001</v>
      </c>
      <c r="G27" s="8">
        <v>1.2049000000000001</v>
      </c>
      <c r="H27" s="8">
        <v>0.29949999999999999</v>
      </c>
      <c r="I27" s="9">
        <v>-0.68610000000000004</v>
      </c>
      <c r="J27" s="9">
        <v>-1.4879</v>
      </c>
      <c r="K27" s="9">
        <v>-1.891</v>
      </c>
      <c r="L27" s="9">
        <v>-1.7874000000000001</v>
      </c>
      <c r="M27" s="9">
        <v>-1.2049000000000001</v>
      </c>
      <c r="N27" s="9">
        <v>-0.29949999999999999</v>
      </c>
      <c r="Q27" s="2">
        <v>21</v>
      </c>
      <c r="R27" s="8">
        <v>7.1999999999999998E-3</v>
      </c>
      <c r="S27" s="8">
        <v>1.55E-2</v>
      </c>
      <c r="T27" s="8">
        <v>1.9699999999999999E-2</v>
      </c>
      <c r="U27" s="8">
        <v>1.8700000000000001E-2</v>
      </c>
      <c r="V27" s="8">
        <v>1.26E-2</v>
      </c>
      <c r="W27" s="8">
        <v>3.0999999999999999E-3</v>
      </c>
      <c r="X27" s="9">
        <v>-7.1999999999999998E-3</v>
      </c>
      <c r="Y27" s="9">
        <v>-1.55E-2</v>
      </c>
      <c r="Z27" s="9">
        <v>-1.9699999999999999E-2</v>
      </c>
      <c r="AA27" s="9">
        <v>-1.8700000000000001E-2</v>
      </c>
      <c r="AB27" s="9">
        <v>-1.26E-2</v>
      </c>
      <c r="AC27" s="9">
        <v>-3.0999999999999999E-3</v>
      </c>
      <c r="AF27" s="2">
        <v>21</v>
      </c>
      <c r="AG27" s="25">
        <v>-1.559E-2</v>
      </c>
      <c r="AH27" s="25">
        <v>-1.051E-2</v>
      </c>
      <c r="AI27" s="25">
        <v>-2.6099999999999999E-3</v>
      </c>
      <c r="AJ27" s="25">
        <v>5.9800000000000001E-3</v>
      </c>
      <c r="AK27" s="25">
        <v>1.298E-2</v>
      </c>
      <c r="AL27" s="25">
        <v>1.6490000000000001E-2</v>
      </c>
      <c r="AM27" s="26">
        <v>1.559E-2</v>
      </c>
      <c r="AN27" s="26">
        <v>1.051E-2</v>
      </c>
      <c r="AO27" s="26">
        <v>2.6099999999999999E-3</v>
      </c>
      <c r="AP27" s="25">
        <v>-5.9800000000000001E-3</v>
      </c>
      <c r="AQ27" s="25">
        <v>-1.298E-2</v>
      </c>
      <c r="AR27" s="25">
        <v>-1.6490000000000001E-2</v>
      </c>
      <c r="AU27" s="2">
        <v>21</v>
      </c>
      <c r="AV27" s="25">
        <v>-1.2999999999999999E-4</v>
      </c>
      <c r="AW27" s="25">
        <v>-9.0000000000000006E-5</v>
      </c>
      <c r="AX27" s="25">
        <v>-2.0000000000000002E-5</v>
      </c>
      <c r="AY27" s="25">
        <v>5.0000000000000002E-5</v>
      </c>
      <c r="AZ27" s="25">
        <v>1.1E-4</v>
      </c>
      <c r="BA27" s="25">
        <v>1.3999999999999999E-4</v>
      </c>
      <c r="BB27" s="26">
        <v>1.2999999999999999E-4</v>
      </c>
      <c r="BC27" s="26">
        <v>9.0000000000000006E-5</v>
      </c>
      <c r="BD27" s="26">
        <v>2.0000000000000002E-5</v>
      </c>
      <c r="BE27" s="25">
        <v>-5.0000000000000002E-5</v>
      </c>
      <c r="BF27" s="25">
        <v>-1.1E-4</v>
      </c>
      <c r="BG27" s="25">
        <v>-1.3999999999999999E-4</v>
      </c>
    </row>
    <row r="28" spans="2:59" ht="16" thickBot="1" x14ac:dyDescent="0.4">
      <c r="B28" s="2">
        <v>22</v>
      </c>
      <c r="C28" s="8">
        <v>0.71719999999999995</v>
      </c>
      <c r="D28" s="8">
        <v>1.5086999999999999</v>
      </c>
      <c r="E28" s="8">
        <v>1.8959999999999999</v>
      </c>
      <c r="F28" s="8">
        <v>1.7751999999999999</v>
      </c>
      <c r="G28" s="8">
        <v>1.1787000000000001</v>
      </c>
      <c r="H28" s="8">
        <v>0.26650000000000001</v>
      </c>
      <c r="I28" s="9">
        <v>-0.71719999999999995</v>
      </c>
      <c r="J28" s="9">
        <v>-1.5086999999999999</v>
      </c>
      <c r="K28" s="9">
        <v>-1.8959999999999999</v>
      </c>
      <c r="L28" s="9">
        <v>-1.7751999999999999</v>
      </c>
      <c r="M28" s="9">
        <v>-1.1787000000000001</v>
      </c>
      <c r="N28" s="9">
        <v>-0.26650000000000001</v>
      </c>
      <c r="Q28" s="2">
        <v>22</v>
      </c>
      <c r="R28" s="8">
        <v>7.4999999999999997E-3</v>
      </c>
      <c r="S28" s="8">
        <v>1.5800000000000002E-2</v>
      </c>
      <c r="T28" s="8">
        <v>1.9800000000000002E-2</v>
      </c>
      <c r="U28" s="8">
        <v>1.8499999999999999E-2</v>
      </c>
      <c r="V28" s="8">
        <v>1.23E-2</v>
      </c>
      <c r="W28" s="8">
        <v>2.8E-3</v>
      </c>
      <c r="X28" s="9">
        <v>-7.4999999999999997E-3</v>
      </c>
      <c r="Y28" s="9">
        <v>-1.5800000000000002E-2</v>
      </c>
      <c r="Z28" s="9">
        <v>-1.9800000000000002E-2</v>
      </c>
      <c r="AA28" s="9">
        <v>-1.8499999999999999E-2</v>
      </c>
      <c r="AB28" s="9">
        <v>-1.23E-2</v>
      </c>
      <c r="AC28" s="9">
        <v>-2.8E-3</v>
      </c>
      <c r="AF28" s="2">
        <v>22</v>
      </c>
      <c r="AG28" s="25">
        <v>-1.5480000000000001E-2</v>
      </c>
      <c r="AH28" s="25">
        <v>-1.0279999999999999E-2</v>
      </c>
      <c r="AI28" s="25">
        <v>-2.32E-3</v>
      </c>
      <c r="AJ28" s="25">
        <v>6.2599999999999999E-3</v>
      </c>
      <c r="AK28" s="25">
        <v>1.316E-2</v>
      </c>
      <c r="AL28" s="25">
        <v>1.6539999999999999E-2</v>
      </c>
      <c r="AM28" s="26">
        <v>1.5480000000000001E-2</v>
      </c>
      <c r="AN28" s="26">
        <v>1.0279999999999999E-2</v>
      </c>
      <c r="AO28" s="26">
        <v>2.32E-3</v>
      </c>
      <c r="AP28" s="25">
        <v>-6.2599999999999999E-3</v>
      </c>
      <c r="AQ28" s="25">
        <v>-1.316E-2</v>
      </c>
      <c r="AR28" s="25">
        <v>-1.6539999999999999E-2</v>
      </c>
      <c r="AU28" s="2">
        <v>22</v>
      </c>
      <c r="AV28" s="25">
        <v>-1.2999999999999999E-4</v>
      </c>
      <c r="AW28" s="25">
        <v>-9.0000000000000006E-5</v>
      </c>
      <c r="AX28" s="25">
        <v>-2.0000000000000002E-5</v>
      </c>
      <c r="AY28" s="25">
        <v>5.0000000000000002E-5</v>
      </c>
      <c r="AZ28" s="25">
        <v>1.1E-4</v>
      </c>
      <c r="BA28" s="25">
        <v>1.3999999999999999E-4</v>
      </c>
      <c r="BB28" s="26">
        <v>1.2999999999999999E-4</v>
      </c>
      <c r="BC28" s="26">
        <v>9.0000000000000006E-5</v>
      </c>
      <c r="BD28" s="26">
        <v>2.0000000000000002E-5</v>
      </c>
      <c r="BE28" s="25">
        <v>-5.0000000000000002E-5</v>
      </c>
      <c r="BF28" s="25">
        <v>-1.1E-4</v>
      </c>
      <c r="BG28" s="25">
        <v>-1.3999999999999999E-4</v>
      </c>
    </row>
    <row r="29" spans="2:59" ht="16" thickBot="1" x14ac:dyDescent="0.4">
      <c r="B29" s="2">
        <v>23</v>
      </c>
      <c r="C29" s="8">
        <v>0.74809999999999999</v>
      </c>
      <c r="D29" s="8">
        <v>1.5290999999999999</v>
      </c>
      <c r="E29" s="8">
        <v>1.9003000000000001</v>
      </c>
      <c r="F29" s="8">
        <v>1.7624</v>
      </c>
      <c r="G29" s="8">
        <v>1.1521999999999999</v>
      </c>
      <c r="H29" s="8">
        <v>0.23330000000000001</v>
      </c>
      <c r="I29" s="9">
        <v>-0.74809999999999999</v>
      </c>
      <c r="J29" s="9">
        <v>-1.5290999999999999</v>
      </c>
      <c r="K29" s="9">
        <v>-1.9003000000000001</v>
      </c>
      <c r="L29" s="9">
        <v>-1.7624</v>
      </c>
      <c r="M29" s="9">
        <v>-1.1521999999999999</v>
      </c>
      <c r="N29" s="9">
        <v>-0.23330000000000001</v>
      </c>
      <c r="Q29" s="2">
        <v>23</v>
      </c>
      <c r="R29" s="8">
        <v>7.7999999999999996E-3</v>
      </c>
      <c r="S29" s="8">
        <v>1.6E-2</v>
      </c>
      <c r="T29" s="8">
        <v>1.9800000000000002E-2</v>
      </c>
      <c r="U29" s="8">
        <v>1.84E-2</v>
      </c>
      <c r="V29" s="8">
        <v>1.2E-2</v>
      </c>
      <c r="W29" s="8">
        <v>2.3999999999999998E-3</v>
      </c>
      <c r="X29" s="9">
        <v>-7.7999999999999996E-3</v>
      </c>
      <c r="Y29" s="9">
        <v>-1.6E-2</v>
      </c>
      <c r="Z29" s="9">
        <v>-1.9800000000000002E-2</v>
      </c>
      <c r="AA29" s="9">
        <v>-1.84E-2</v>
      </c>
      <c r="AB29" s="9">
        <v>-1.2E-2</v>
      </c>
      <c r="AC29" s="9">
        <v>-2.3999999999999998E-3</v>
      </c>
      <c r="AF29" s="2">
        <v>23</v>
      </c>
      <c r="AG29" s="25">
        <v>-1.537E-2</v>
      </c>
      <c r="AH29" s="25">
        <v>-1.005E-2</v>
      </c>
      <c r="AI29" s="25">
        <v>-2.0400000000000001E-3</v>
      </c>
      <c r="AJ29" s="25">
        <v>6.5300000000000002E-3</v>
      </c>
      <c r="AK29" s="25">
        <v>1.3339999999999999E-2</v>
      </c>
      <c r="AL29" s="25">
        <v>1.6580000000000001E-2</v>
      </c>
      <c r="AM29" s="26">
        <v>1.537E-2</v>
      </c>
      <c r="AN29" s="26">
        <v>1.005E-2</v>
      </c>
      <c r="AO29" s="26">
        <v>2.0400000000000001E-3</v>
      </c>
      <c r="AP29" s="25">
        <v>-6.5300000000000002E-3</v>
      </c>
      <c r="AQ29" s="25">
        <v>-1.3339999999999999E-2</v>
      </c>
      <c r="AR29" s="25">
        <v>-1.6580000000000001E-2</v>
      </c>
      <c r="AU29" s="2">
        <v>23</v>
      </c>
      <c r="AV29" s="25">
        <v>-1.2999999999999999E-4</v>
      </c>
      <c r="AW29" s="25">
        <v>-8.0000000000000007E-5</v>
      </c>
      <c r="AX29" s="25">
        <v>-2.0000000000000002E-5</v>
      </c>
      <c r="AY29" s="25">
        <v>5.0000000000000002E-5</v>
      </c>
      <c r="AZ29" s="25">
        <v>1.1E-4</v>
      </c>
      <c r="BA29" s="25">
        <v>1.3999999999999999E-4</v>
      </c>
      <c r="BB29" s="26">
        <v>1.2999999999999999E-4</v>
      </c>
      <c r="BC29" s="26">
        <v>8.0000000000000007E-5</v>
      </c>
      <c r="BD29" s="26">
        <v>2.0000000000000002E-5</v>
      </c>
      <c r="BE29" s="25">
        <v>-5.0000000000000002E-5</v>
      </c>
      <c r="BF29" s="25">
        <v>-1.1E-4</v>
      </c>
      <c r="BG29" s="25">
        <v>-1.3999999999999999E-4</v>
      </c>
    </row>
    <row r="30" spans="2:59" ht="16" thickBot="1" x14ac:dyDescent="0.4">
      <c r="B30" s="2">
        <v>24</v>
      </c>
      <c r="C30" s="8">
        <v>0.77869999999999995</v>
      </c>
      <c r="D30" s="8">
        <v>1.5488999999999999</v>
      </c>
      <c r="E30" s="8">
        <v>1.9040999999999999</v>
      </c>
      <c r="F30" s="8">
        <v>1.7491000000000001</v>
      </c>
      <c r="G30" s="8">
        <v>1.1254</v>
      </c>
      <c r="H30" s="8">
        <v>0.2001</v>
      </c>
      <c r="I30" s="9">
        <v>-0.77869999999999995</v>
      </c>
      <c r="J30" s="9">
        <v>-1.5488999999999999</v>
      </c>
      <c r="K30" s="9">
        <v>-1.9040999999999999</v>
      </c>
      <c r="L30" s="9">
        <v>-1.7491000000000001</v>
      </c>
      <c r="M30" s="9">
        <v>-1.1254</v>
      </c>
      <c r="N30" s="9">
        <v>-0.2001</v>
      </c>
      <c r="Q30" s="2">
        <v>24</v>
      </c>
      <c r="R30" s="8">
        <v>8.0999999999999996E-3</v>
      </c>
      <c r="S30" s="8">
        <v>1.6199999999999999E-2</v>
      </c>
      <c r="T30" s="8">
        <v>1.9900000000000001E-2</v>
      </c>
      <c r="U30" s="8">
        <v>1.83E-2</v>
      </c>
      <c r="V30" s="8">
        <v>1.18E-2</v>
      </c>
      <c r="W30" s="8">
        <v>2.0999999999999999E-3</v>
      </c>
      <c r="X30" s="9">
        <v>-8.0999999999999996E-3</v>
      </c>
      <c r="Y30" s="9">
        <v>-1.6199999999999999E-2</v>
      </c>
      <c r="Z30" s="9">
        <v>-1.9900000000000001E-2</v>
      </c>
      <c r="AA30" s="9">
        <v>-1.83E-2</v>
      </c>
      <c r="AB30" s="9">
        <v>-1.18E-2</v>
      </c>
      <c r="AC30" s="9">
        <v>-2.0999999999999999E-3</v>
      </c>
      <c r="AF30" s="2">
        <v>24</v>
      </c>
      <c r="AG30" s="25">
        <v>-1.5259999999999999E-2</v>
      </c>
      <c r="AH30" s="25">
        <v>-9.8200000000000006E-3</v>
      </c>
      <c r="AI30" s="25">
        <v>-1.75E-3</v>
      </c>
      <c r="AJ30" s="25">
        <v>6.79E-3</v>
      </c>
      <c r="AK30" s="25">
        <v>1.3509999999999999E-2</v>
      </c>
      <c r="AL30" s="25">
        <v>1.661E-2</v>
      </c>
      <c r="AM30" s="26">
        <v>1.5259999999999999E-2</v>
      </c>
      <c r="AN30" s="26">
        <v>9.8200000000000006E-3</v>
      </c>
      <c r="AO30" s="26">
        <v>1.75E-3</v>
      </c>
      <c r="AP30" s="25">
        <v>-6.79E-3</v>
      </c>
      <c r="AQ30" s="25">
        <v>-1.3509999999999999E-2</v>
      </c>
      <c r="AR30" s="25">
        <v>-1.661E-2</v>
      </c>
      <c r="AU30" s="2">
        <v>24</v>
      </c>
      <c r="AV30" s="25">
        <v>-1.2999999999999999E-4</v>
      </c>
      <c r="AW30" s="25">
        <v>-8.0000000000000007E-5</v>
      </c>
      <c r="AX30" s="25">
        <v>-1.0000000000000001E-5</v>
      </c>
      <c r="AY30" s="25">
        <v>6.0000000000000002E-5</v>
      </c>
      <c r="AZ30" s="25">
        <v>1.1E-4</v>
      </c>
      <c r="BA30" s="25">
        <v>1.3999999999999999E-4</v>
      </c>
      <c r="BB30" s="26">
        <v>1.2999999999999999E-4</v>
      </c>
      <c r="BC30" s="26">
        <v>8.0000000000000007E-5</v>
      </c>
      <c r="BD30" s="26">
        <v>1.0000000000000001E-5</v>
      </c>
      <c r="BE30" s="25">
        <v>-6.0000000000000002E-5</v>
      </c>
      <c r="BF30" s="25">
        <v>-1.1E-4</v>
      </c>
      <c r="BG30" s="25">
        <v>-1.3999999999999999E-4</v>
      </c>
    </row>
    <row r="31" spans="2:59" ht="16" thickBot="1" x14ac:dyDescent="0.4">
      <c r="B31" s="2">
        <v>25</v>
      </c>
      <c r="C31" s="8">
        <v>0.80910000000000004</v>
      </c>
      <c r="D31" s="8">
        <v>1.5683</v>
      </c>
      <c r="E31" s="8">
        <v>1.9073</v>
      </c>
      <c r="F31" s="8">
        <v>1.7352000000000001</v>
      </c>
      <c r="G31" s="8">
        <v>1.0982000000000001</v>
      </c>
      <c r="H31" s="8">
        <v>0.16689999999999999</v>
      </c>
      <c r="I31" s="9">
        <v>-0.80910000000000004</v>
      </c>
      <c r="J31" s="9">
        <v>-1.5683</v>
      </c>
      <c r="K31" s="9">
        <v>-1.9073</v>
      </c>
      <c r="L31" s="9">
        <v>-1.7352000000000001</v>
      </c>
      <c r="M31" s="9">
        <v>-1.0982000000000001</v>
      </c>
      <c r="N31" s="9">
        <v>-0.16689999999999999</v>
      </c>
      <c r="Q31" s="2">
        <v>25</v>
      </c>
      <c r="R31" s="8">
        <v>8.3999999999999995E-3</v>
      </c>
      <c r="S31" s="8">
        <v>1.6400000000000001E-2</v>
      </c>
      <c r="T31" s="8">
        <v>1.9900000000000001E-2</v>
      </c>
      <c r="U31" s="8">
        <v>1.8100000000000002E-2</v>
      </c>
      <c r="V31" s="8">
        <v>1.15E-2</v>
      </c>
      <c r="W31" s="8">
        <v>1.6999999999999999E-3</v>
      </c>
      <c r="X31" s="9">
        <v>-8.3999999999999995E-3</v>
      </c>
      <c r="Y31" s="9">
        <v>-1.6400000000000001E-2</v>
      </c>
      <c r="Z31" s="9">
        <v>-1.9900000000000001E-2</v>
      </c>
      <c r="AA31" s="9">
        <v>-1.8100000000000002E-2</v>
      </c>
      <c r="AB31" s="9">
        <v>-1.15E-2</v>
      </c>
      <c r="AC31" s="9">
        <v>-1.6999999999999999E-3</v>
      </c>
      <c r="AF31" s="2">
        <v>25</v>
      </c>
      <c r="AG31" s="25">
        <v>-1.5140000000000001E-2</v>
      </c>
      <c r="AH31" s="25">
        <v>-9.58E-3</v>
      </c>
      <c r="AI31" s="25">
        <v>-1.4599999999999999E-3</v>
      </c>
      <c r="AJ31" s="25">
        <v>7.0600000000000003E-3</v>
      </c>
      <c r="AK31" s="25">
        <v>1.3679999999999999E-2</v>
      </c>
      <c r="AL31" s="25">
        <v>1.6639999999999999E-2</v>
      </c>
      <c r="AM31" s="26">
        <v>1.5140000000000001E-2</v>
      </c>
      <c r="AN31" s="26">
        <v>9.58E-3</v>
      </c>
      <c r="AO31" s="26">
        <v>1.4599999999999999E-3</v>
      </c>
      <c r="AP31" s="25">
        <v>-7.0600000000000003E-3</v>
      </c>
      <c r="AQ31" s="25">
        <v>-1.3679999999999999E-2</v>
      </c>
      <c r="AR31" s="25">
        <v>-1.6639999999999999E-2</v>
      </c>
      <c r="AU31" s="2">
        <v>25</v>
      </c>
      <c r="AV31" s="25">
        <v>-1.2999999999999999E-4</v>
      </c>
      <c r="AW31" s="25">
        <v>-8.0000000000000007E-5</v>
      </c>
      <c r="AX31" s="25">
        <v>-1.0000000000000001E-5</v>
      </c>
      <c r="AY31" s="25">
        <v>6.0000000000000002E-5</v>
      </c>
      <c r="AZ31" s="25">
        <v>1.1E-4</v>
      </c>
      <c r="BA31" s="25">
        <v>1.3999999999999999E-4</v>
      </c>
      <c r="BB31" s="26">
        <v>1.2999999999999999E-4</v>
      </c>
      <c r="BC31" s="26">
        <v>8.0000000000000007E-5</v>
      </c>
      <c r="BD31" s="26">
        <v>1.0000000000000001E-5</v>
      </c>
      <c r="BE31" s="25">
        <v>-6.0000000000000002E-5</v>
      </c>
      <c r="BF31" s="25">
        <v>-1.1E-4</v>
      </c>
      <c r="BG31" s="25">
        <v>-1.3999999999999999E-4</v>
      </c>
    </row>
    <row r="32" spans="2:59" ht="16" thickBot="1" x14ac:dyDescent="0.4">
      <c r="B32" s="2">
        <v>26</v>
      </c>
      <c r="C32" s="8">
        <v>0.83930000000000005</v>
      </c>
      <c r="D32" s="8">
        <v>1.5872999999999999</v>
      </c>
      <c r="E32" s="8">
        <v>1.9098999999999999</v>
      </c>
      <c r="F32" s="8">
        <v>1.7208000000000001</v>
      </c>
      <c r="G32" s="8">
        <v>1.0706</v>
      </c>
      <c r="H32" s="8">
        <v>0.1336</v>
      </c>
      <c r="I32" s="9">
        <v>-0.83930000000000005</v>
      </c>
      <c r="J32" s="9">
        <v>-1.5872999999999999</v>
      </c>
      <c r="K32" s="9">
        <v>-1.9098999999999999</v>
      </c>
      <c r="L32" s="9">
        <v>-1.7208000000000001</v>
      </c>
      <c r="M32" s="9">
        <v>-1.0706</v>
      </c>
      <c r="N32" s="9">
        <v>-0.1336</v>
      </c>
      <c r="Q32" s="2">
        <v>26</v>
      </c>
      <c r="R32" s="8">
        <v>8.8000000000000005E-3</v>
      </c>
      <c r="S32" s="8">
        <v>1.66E-2</v>
      </c>
      <c r="T32" s="8">
        <v>1.9900000000000001E-2</v>
      </c>
      <c r="U32" s="8">
        <v>1.7999999999999999E-2</v>
      </c>
      <c r="V32" s="8">
        <v>1.12E-2</v>
      </c>
      <c r="W32" s="8">
        <v>1.4E-3</v>
      </c>
      <c r="X32" s="9">
        <v>-8.8000000000000005E-3</v>
      </c>
      <c r="Y32" s="9">
        <v>-1.66E-2</v>
      </c>
      <c r="Z32" s="9">
        <v>-1.9900000000000001E-2</v>
      </c>
      <c r="AA32" s="9">
        <v>-1.7999999999999999E-2</v>
      </c>
      <c r="AB32" s="9">
        <v>-1.12E-2</v>
      </c>
      <c r="AC32" s="9">
        <v>-1.4E-3</v>
      </c>
      <c r="AF32" s="2">
        <v>26</v>
      </c>
      <c r="AG32" s="25">
        <v>-1.5010000000000001E-2</v>
      </c>
      <c r="AH32" s="25">
        <v>-9.3399999999999993E-3</v>
      </c>
      <c r="AI32" s="25">
        <v>-1.16E-3</v>
      </c>
      <c r="AJ32" s="25">
        <v>7.3200000000000001E-3</v>
      </c>
      <c r="AK32" s="25">
        <v>1.384E-2</v>
      </c>
      <c r="AL32" s="25">
        <v>1.6660000000000001E-2</v>
      </c>
      <c r="AM32" s="26">
        <v>1.5010000000000001E-2</v>
      </c>
      <c r="AN32" s="26">
        <v>9.3399999999999993E-3</v>
      </c>
      <c r="AO32" s="26">
        <v>1.16E-3</v>
      </c>
      <c r="AP32" s="25">
        <v>-7.3200000000000001E-3</v>
      </c>
      <c r="AQ32" s="25">
        <v>-1.384E-2</v>
      </c>
      <c r="AR32" s="25">
        <v>-1.6660000000000001E-2</v>
      </c>
      <c r="AU32" s="2">
        <v>26</v>
      </c>
      <c r="AV32" s="25">
        <v>-1.2999999999999999E-4</v>
      </c>
      <c r="AW32" s="25">
        <v>-8.0000000000000007E-5</v>
      </c>
      <c r="AX32" s="25">
        <v>-1.0000000000000001E-5</v>
      </c>
      <c r="AY32" s="25">
        <v>6.0000000000000002E-5</v>
      </c>
      <c r="AZ32" s="25">
        <v>1.2E-4</v>
      </c>
      <c r="BA32" s="25">
        <v>1.3999999999999999E-4</v>
      </c>
      <c r="BB32" s="26">
        <v>1.2999999999999999E-4</v>
      </c>
      <c r="BC32" s="26">
        <v>8.0000000000000007E-5</v>
      </c>
      <c r="BD32" s="26">
        <v>1.0000000000000001E-5</v>
      </c>
      <c r="BE32" s="25">
        <v>-6.0000000000000002E-5</v>
      </c>
      <c r="BF32" s="25">
        <v>-1.2E-4</v>
      </c>
      <c r="BG32" s="25">
        <v>-1.3999999999999999E-4</v>
      </c>
    </row>
    <row r="33" spans="2:59" ht="16" thickBot="1" x14ac:dyDescent="0.4">
      <c r="B33" s="2">
        <v>27</v>
      </c>
      <c r="C33" s="8">
        <v>0.86919999999999997</v>
      </c>
      <c r="D33" s="8">
        <v>1.6056999999999999</v>
      </c>
      <c r="E33" s="8">
        <v>1.9119999999999999</v>
      </c>
      <c r="F33" s="8">
        <v>1.7059</v>
      </c>
      <c r="G33" s="8">
        <v>1.0427999999999999</v>
      </c>
      <c r="H33" s="8">
        <v>0.1002</v>
      </c>
      <c r="I33" s="9">
        <v>-0.86919999999999997</v>
      </c>
      <c r="J33" s="9">
        <v>-1.6056999999999999</v>
      </c>
      <c r="K33" s="9">
        <v>-1.9119999999999999</v>
      </c>
      <c r="L33" s="9">
        <v>-1.7059</v>
      </c>
      <c r="M33" s="9">
        <v>-1.0427999999999999</v>
      </c>
      <c r="N33" s="9">
        <v>-0.1002</v>
      </c>
      <c r="Q33" s="2">
        <v>27</v>
      </c>
      <c r="R33" s="8">
        <v>9.1000000000000004E-3</v>
      </c>
      <c r="S33" s="8">
        <v>1.6799999999999999E-2</v>
      </c>
      <c r="T33" s="8">
        <v>0.02</v>
      </c>
      <c r="U33" s="8">
        <v>1.78E-2</v>
      </c>
      <c r="V33" s="8">
        <v>1.09E-2</v>
      </c>
      <c r="W33" s="8">
        <v>1E-3</v>
      </c>
      <c r="X33" s="9">
        <v>-9.1000000000000004E-3</v>
      </c>
      <c r="Y33" s="9">
        <v>-1.6799999999999999E-2</v>
      </c>
      <c r="Z33" s="9">
        <v>-0.02</v>
      </c>
      <c r="AA33" s="9">
        <v>-1.78E-2</v>
      </c>
      <c r="AB33" s="9">
        <v>-1.09E-2</v>
      </c>
      <c r="AC33" s="9">
        <v>-1E-3</v>
      </c>
      <c r="AF33" s="2">
        <v>27</v>
      </c>
      <c r="AG33" s="25">
        <v>-1.4880000000000001E-2</v>
      </c>
      <c r="AH33" s="25">
        <v>-9.1000000000000004E-3</v>
      </c>
      <c r="AI33" s="25">
        <v>-8.7000000000000001E-4</v>
      </c>
      <c r="AJ33" s="25">
        <v>7.5799999999999999E-3</v>
      </c>
      <c r="AK33" s="25">
        <v>1.401E-2</v>
      </c>
      <c r="AL33" s="25">
        <v>1.668E-2</v>
      </c>
      <c r="AM33" s="26">
        <v>1.4880000000000001E-2</v>
      </c>
      <c r="AN33" s="26">
        <v>9.1000000000000004E-3</v>
      </c>
      <c r="AO33" s="26">
        <v>8.7000000000000001E-4</v>
      </c>
      <c r="AP33" s="25">
        <v>-7.5799999999999999E-3</v>
      </c>
      <c r="AQ33" s="25">
        <v>-1.401E-2</v>
      </c>
      <c r="AR33" s="25">
        <v>-1.668E-2</v>
      </c>
      <c r="AU33" s="2">
        <v>27</v>
      </c>
      <c r="AV33" s="25">
        <v>-1.2E-4</v>
      </c>
      <c r="AW33" s="25">
        <v>-8.0000000000000007E-5</v>
      </c>
      <c r="AX33" s="25">
        <v>-1.0000000000000001E-5</v>
      </c>
      <c r="AY33" s="25">
        <v>6.0000000000000002E-5</v>
      </c>
      <c r="AZ33" s="25">
        <v>1.2E-4</v>
      </c>
      <c r="BA33" s="25">
        <v>1.3999999999999999E-4</v>
      </c>
      <c r="BB33" s="26">
        <v>1.2E-4</v>
      </c>
      <c r="BC33" s="26">
        <v>8.0000000000000007E-5</v>
      </c>
      <c r="BD33" s="26">
        <v>1.0000000000000001E-5</v>
      </c>
      <c r="BE33" s="25">
        <v>-6.0000000000000002E-5</v>
      </c>
      <c r="BF33" s="25">
        <v>-1.2E-4</v>
      </c>
      <c r="BG33" s="25">
        <v>-1.3999999999999999E-4</v>
      </c>
    </row>
    <row r="34" spans="2:59" ht="16" thickBot="1" x14ac:dyDescent="0.4">
      <c r="B34" s="2">
        <v>28</v>
      </c>
      <c r="C34" s="8">
        <v>0.89890000000000003</v>
      </c>
      <c r="D34" s="8">
        <v>1.6236999999999999</v>
      </c>
      <c r="E34" s="8">
        <v>1.9134</v>
      </c>
      <c r="F34" s="8">
        <v>1.6904999999999999</v>
      </c>
      <c r="G34" s="8">
        <v>1.0145999999999999</v>
      </c>
      <c r="H34" s="8">
        <v>6.6799999999999998E-2</v>
      </c>
      <c r="I34" s="9">
        <v>-0.89890000000000003</v>
      </c>
      <c r="J34" s="9">
        <v>-1.6236999999999999</v>
      </c>
      <c r="K34" s="9">
        <v>-1.9134</v>
      </c>
      <c r="L34" s="9">
        <v>-1.6904999999999999</v>
      </c>
      <c r="M34" s="9">
        <v>-1.0145999999999999</v>
      </c>
      <c r="N34" s="9">
        <v>-6.6799999999999998E-2</v>
      </c>
      <c r="Q34" s="2">
        <v>28</v>
      </c>
      <c r="R34" s="8">
        <v>9.4000000000000004E-3</v>
      </c>
      <c r="S34" s="8">
        <v>1.7000000000000001E-2</v>
      </c>
      <c r="T34" s="8">
        <v>0.02</v>
      </c>
      <c r="U34" s="8">
        <v>1.77E-2</v>
      </c>
      <c r="V34" s="8">
        <v>1.06E-2</v>
      </c>
      <c r="W34" s="8">
        <v>6.9999999999999999E-4</v>
      </c>
      <c r="X34" s="9">
        <v>-9.4000000000000004E-3</v>
      </c>
      <c r="Y34" s="9">
        <v>-1.7000000000000001E-2</v>
      </c>
      <c r="Z34" s="9">
        <v>-0.02</v>
      </c>
      <c r="AA34" s="9">
        <v>-1.77E-2</v>
      </c>
      <c r="AB34" s="9">
        <v>-1.06E-2</v>
      </c>
      <c r="AC34" s="9">
        <v>-6.9999999999999999E-4</v>
      </c>
      <c r="AF34" s="2">
        <v>28</v>
      </c>
      <c r="AG34" s="25">
        <v>-1.4749999999999999E-2</v>
      </c>
      <c r="AH34" s="25">
        <v>-8.8500000000000002E-3</v>
      </c>
      <c r="AI34" s="25">
        <v>-5.8E-4</v>
      </c>
      <c r="AJ34" s="25">
        <v>7.8399999999999997E-3</v>
      </c>
      <c r="AK34" s="25">
        <v>1.4160000000000001E-2</v>
      </c>
      <c r="AL34" s="25">
        <v>1.669E-2</v>
      </c>
      <c r="AM34" s="26">
        <v>1.4749999999999999E-2</v>
      </c>
      <c r="AN34" s="26">
        <v>8.8500000000000002E-3</v>
      </c>
      <c r="AO34" s="26">
        <v>5.8E-4</v>
      </c>
      <c r="AP34" s="25">
        <v>-7.8399999999999997E-3</v>
      </c>
      <c r="AQ34" s="25">
        <v>-1.4160000000000001E-2</v>
      </c>
      <c r="AR34" s="25">
        <v>-1.669E-2</v>
      </c>
      <c r="AU34" s="2">
        <v>28</v>
      </c>
      <c r="AV34" s="25">
        <v>-1.2E-4</v>
      </c>
      <c r="AW34" s="25">
        <v>-6.9999999999999994E-5</v>
      </c>
      <c r="AX34" s="25">
        <v>0</v>
      </c>
      <c r="AY34" s="25">
        <v>6.9999999999999994E-5</v>
      </c>
      <c r="AZ34" s="25">
        <v>1.2E-4</v>
      </c>
      <c r="BA34" s="25">
        <v>1.3999999999999999E-4</v>
      </c>
      <c r="BB34" s="26">
        <v>1.2E-4</v>
      </c>
      <c r="BC34" s="26">
        <v>6.9999999999999994E-5</v>
      </c>
      <c r="BD34" s="26">
        <v>0</v>
      </c>
      <c r="BE34" s="25">
        <v>-6.9999999999999994E-5</v>
      </c>
      <c r="BF34" s="25">
        <v>-1.2E-4</v>
      </c>
      <c r="BG34" s="25">
        <v>-1.3999999999999999E-4</v>
      </c>
    </row>
    <row r="35" spans="2:59" ht="16" thickBot="1" x14ac:dyDescent="0.4">
      <c r="B35" s="2">
        <v>29</v>
      </c>
      <c r="C35" s="8">
        <v>0.92820000000000003</v>
      </c>
      <c r="D35" s="8">
        <v>1.6411</v>
      </c>
      <c r="E35" s="8">
        <v>1.9142999999999999</v>
      </c>
      <c r="F35" s="8">
        <v>1.6745000000000001</v>
      </c>
      <c r="G35" s="8">
        <v>0.98609999999999998</v>
      </c>
      <c r="H35" s="8">
        <v>3.3399999999999999E-2</v>
      </c>
      <c r="I35" s="9">
        <v>-0.92820000000000003</v>
      </c>
      <c r="J35" s="9">
        <v>-1.6411</v>
      </c>
      <c r="K35" s="9">
        <v>-1.9142999999999999</v>
      </c>
      <c r="L35" s="9">
        <v>-1.6745000000000001</v>
      </c>
      <c r="M35" s="9">
        <v>-0.98609999999999998</v>
      </c>
      <c r="N35" s="9">
        <v>-3.3399999999999999E-2</v>
      </c>
      <c r="Q35" s="2">
        <v>29</v>
      </c>
      <c r="R35" s="8">
        <v>9.7000000000000003E-3</v>
      </c>
      <c r="S35" s="8">
        <v>1.7100000000000001E-2</v>
      </c>
      <c r="T35" s="8">
        <v>0.02</v>
      </c>
      <c r="U35" s="8">
        <v>1.7500000000000002E-2</v>
      </c>
      <c r="V35" s="8">
        <v>1.03E-2</v>
      </c>
      <c r="W35" s="8">
        <v>2.9999999999999997E-4</v>
      </c>
      <c r="X35" s="9">
        <v>-9.7000000000000003E-3</v>
      </c>
      <c r="Y35" s="9">
        <v>-1.7100000000000001E-2</v>
      </c>
      <c r="Z35" s="9">
        <v>-0.02</v>
      </c>
      <c r="AA35" s="9">
        <v>-1.7500000000000002E-2</v>
      </c>
      <c r="AB35" s="9">
        <v>-1.03E-2</v>
      </c>
      <c r="AC35" s="9">
        <v>-2.9999999999999997E-4</v>
      </c>
      <c r="AF35" s="2">
        <v>29</v>
      </c>
      <c r="AG35" s="25">
        <v>-1.461E-2</v>
      </c>
      <c r="AH35" s="25">
        <v>-8.6E-3</v>
      </c>
      <c r="AI35" s="25">
        <v>-2.9E-4</v>
      </c>
      <c r="AJ35" s="25">
        <v>8.0999999999999996E-3</v>
      </c>
      <c r="AK35" s="25">
        <v>1.431E-2</v>
      </c>
      <c r="AL35" s="25">
        <v>1.67E-2</v>
      </c>
      <c r="AM35" s="26">
        <v>1.461E-2</v>
      </c>
      <c r="AN35" s="26">
        <v>8.6E-3</v>
      </c>
      <c r="AO35" s="26">
        <v>2.9E-4</v>
      </c>
      <c r="AP35" s="25">
        <v>-8.0999999999999996E-3</v>
      </c>
      <c r="AQ35" s="25">
        <v>-1.431E-2</v>
      </c>
      <c r="AR35" s="25">
        <v>-1.67E-2</v>
      </c>
      <c r="AU35" s="2">
        <v>29</v>
      </c>
      <c r="AV35" s="25">
        <v>-1.2E-4</v>
      </c>
      <c r="AW35" s="25">
        <v>-6.9999999999999994E-5</v>
      </c>
      <c r="AX35" s="25">
        <v>0</v>
      </c>
      <c r="AY35" s="25">
        <v>6.9999999999999994E-5</v>
      </c>
      <c r="AZ35" s="25">
        <v>1.2E-4</v>
      </c>
      <c r="BA35" s="25">
        <v>1.3999999999999999E-4</v>
      </c>
      <c r="BB35" s="26">
        <v>1.2E-4</v>
      </c>
      <c r="BC35" s="26">
        <v>6.9999999999999994E-5</v>
      </c>
      <c r="BD35" s="26">
        <v>0</v>
      </c>
      <c r="BE35" s="25">
        <v>-6.9999999999999994E-5</v>
      </c>
      <c r="BF35" s="25">
        <v>-1.2E-4</v>
      </c>
      <c r="BG35" s="25">
        <v>-1.3999999999999999E-4</v>
      </c>
    </row>
    <row r="36" spans="2:59" ht="16" thickBot="1" x14ac:dyDescent="0.4">
      <c r="B36" s="2">
        <v>30</v>
      </c>
      <c r="C36" s="8">
        <v>0.95730000000000004</v>
      </c>
      <c r="D36" s="8">
        <v>1.6580999999999999</v>
      </c>
      <c r="E36" s="8">
        <v>1.9146000000000001</v>
      </c>
      <c r="F36" s="8">
        <v>1.6580999999999999</v>
      </c>
      <c r="G36" s="8">
        <v>0.95730000000000004</v>
      </c>
      <c r="H36" s="8">
        <v>0</v>
      </c>
      <c r="I36" s="9">
        <v>-0.95730000000000004</v>
      </c>
      <c r="J36" s="9">
        <v>-1.6580999999999999</v>
      </c>
      <c r="K36" s="9">
        <v>-1.9146000000000001</v>
      </c>
      <c r="L36" s="9">
        <v>-1.6580999999999999</v>
      </c>
      <c r="M36" s="9">
        <v>-0.95730000000000004</v>
      </c>
      <c r="N36" s="9">
        <v>0</v>
      </c>
      <c r="Q36" s="2">
        <v>30</v>
      </c>
      <c r="R36" s="8">
        <v>0.01</v>
      </c>
      <c r="S36" s="8">
        <v>1.7299999999999999E-2</v>
      </c>
      <c r="T36" s="8">
        <v>0.02</v>
      </c>
      <c r="U36" s="8">
        <v>1.7299999999999999E-2</v>
      </c>
      <c r="V36" s="8">
        <v>0.01</v>
      </c>
      <c r="W36" s="8">
        <v>0</v>
      </c>
      <c r="X36" s="9">
        <v>-0.01</v>
      </c>
      <c r="Y36" s="9">
        <v>-1.7299999999999999E-2</v>
      </c>
      <c r="Z36" s="9">
        <v>-0.02</v>
      </c>
      <c r="AA36" s="9">
        <v>-1.7299999999999999E-2</v>
      </c>
      <c r="AB36" s="9">
        <v>-0.01</v>
      </c>
      <c r="AC36" s="9">
        <v>0</v>
      </c>
      <c r="AF36" s="2">
        <v>30</v>
      </c>
      <c r="AG36" s="25">
        <v>-1.4460000000000001E-2</v>
      </c>
      <c r="AH36" s="25">
        <v>-8.3499999999999998E-3</v>
      </c>
      <c r="AI36" s="25">
        <v>0</v>
      </c>
      <c r="AJ36" s="25">
        <v>8.3499999999999998E-3</v>
      </c>
      <c r="AK36" s="25">
        <v>1.4460000000000001E-2</v>
      </c>
      <c r="AL36" s="25">
        <v>1.67E-2</v>
      </c>
      <c r="AM36" s="26">
        <v>1.4460000000000001E-2</v>
      </c>
      <c r="AN36" s="26">
        <v>8.3499999999999998E-3</v>
      </c>
      <c r="AO36" s="26">
        <v>0</v>
      </c>
      <c r="AP36" s="25">
        <v>-8.3499999999999998E-3</v>
      </c>
      <c r="AQ36" s="25">
        <v>-1.4460000000000001E-2</v>
      </c>
      <c r="AR36" s="25">
        <v>-1.67E-2</v>
      </c>
      <c r="AU36" s="2">
        <v>30</v>
      </c>
      <c r="AV36" s="25">
        <v>-1.2E-4</v>
      </c>
      <c r="AW36" s="25">
        <v>-6.9999999999999994E-5</v>
      </c>
      <c r="AX36" s="25">
        <v>0</v>
      </c>
      <c r="AY36" s="25">
        <v>6.9999999999999994E-5</v>
      </c>
      <c r="AZ36" s="25">
        <v>1.2E-4</v>
      </c>
      <c r="BA36" s="25">
        <v>1.3999999999999999E-4</v>
      </c>
      <c r="BB36" s="26">
        <v>1.2E-4</v>
      </c>
      <c r="BC36" s="26">
        <v>6.9999999999999994E-5</v>
      </c>
      <c r="BD36" s="26">
        <v>0</v>
      </c>
      <c r="BE36" s="25">
        <v>-6.9999999999999994E-5</v>
      </c>
      <c r="BF36" s="25">
        <v>-1.2E-4</v>
      </c>
      <c r="BG36" s="25">
        <v>-1.3999999999999999E-4</v>
      </c>
    </row>
    <row r="41" spans="2:59" ht="15" thickBot="1" x14ac:dyDescent="0.4"/>
    <row r="42" spans="2:59" ht="16" thickBot="1" x14ac:dyDescent="0.4">
      <c r="B42" s="41" t="s">
        <v>228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Q42" s="41" t="s">
        <v>229</v>
      </c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4"/>
      <c r="AF42" s="41" t="s">
        <v>230</v>
      </c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4"/>
      <c r="AU42" s="41" t="s">
        <v>231</v>
      </c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4"/>
    </row>
    <row r="43" spans="2:59" ht="16" thickBot="1" x14ac:dyDescent="0.4">
      <c r="B43" s="2" t="s">
        <v>0</v>
      </c>
      <c r="C43" s="7">
        <v>0</v>
      </c>
      <c r="D43" s="7">
        <v>30</v>
      </c>
      <c r="E43" s="7">
        <v>60</v>
      </c>
      <c r="F43" s="7">
        <v>90</v>
      </c>
      <c r="G43" s="7">
        <v>120</v>
      </c>
      <c r="H43" s="7">
        <v>150</v>
      </c>
      <c r="I43" s="6">
        <v>180</v>
      </c>
      <c r="J43" s="6">
        <v>210</v>
      </c>
      <c r="K43" s="6">
        <v>240</v>
      </c>
      <c r="L43" s="6">
        <v>270</v>
      </c>
      <c r="M43" s="6">
        <v>300</v>
      </c>
      <c r="N43" s="6">
        <v>330</v>
      </c>
      <c r="Q43" s="2" t="s">
        <v>0</v>
      </c>
      <c r="R43" s="7">
        <v>0</v>
      </c>
      <c r="S43" s="7">
        <v>30</v>
      </c>
      <c r="T43" s="7">
        <v>60</v>
      </c>
      <c r="U43" s="7">
        <v>90</v>
      </c>
      <c r="V43" s="7">
        <v>120</v>
      </c>
      <c r="W43" s="7">
        <v>150</v>
      </c>
      <c r="X43" s="6">
        <v>180</v>
      </c>
      <c r="Y43" s="6">
        <v>210</v>
      </c>
      <c r="Z43" s="6">
        <v>240</v>
      </c>
      <c r="AA43" s="6">
        <v>270</v>
      </c>
      <c r="AB43" s="6">
        <v>300</v>
      </c>
      <c r="AC43" s="6">
        <v>330</v>
      </c>
      <c r="AF43" s="2" t="s">
        <v>0</v>
      </c>
      <c r="AG43" s="7">
        <v>0</v>
      </c>
      <c r="AH43" s="7">
        <v>30</v>
      </c>
      <c r="AI43" s="7">
        <v>60</v>
      </c>
      <c r="AJ43" s="7">
        <v>90</v>
      </c>
      <c r="AK43" s="7">
        <v>120</v>
      </c>
      <c r="AL43" s="7">
        <v>150</v>
      </c>
      <c r="AM43" s="6">
        <v>180</v>
      </c>
      <c r="AN43" s="6">
        <v>210</v>
      </c>
      <c r="AO43" s="6">
        <v>240</v>
      </c>
      <c r="AP43" s="6">
        <v>270</v>
      </c>
      <c r="AQ43" s="6">
        <v>300</v>
      </c>
      <c r="AR43" s="6">
        <v>330</v>
      </c>
      <c r="AU43" s="2" t="s">
        <v>0</v>
      </c>
      <c r="AV43" s="7">
        <v>0</v>
      </c>
      <c r="AW43" s="7">
        <v>30</v>
      </c>
      <c r="AX43" s="7">
        <v>60</v>
      </c>
      <c r="AY43" s="7">
        <v>90</v>
      </c>
      <c r="AZ43" s="7">
        <v>120</v>
      </c>
      <c r="BA43" s="7">
        <v>150</v>
      </c>
      <c r="BB43" s="6">
        <v>180</v>
      </c>
      <c r="BC43" s="6">
        <v>210</v>
      </c>
      <c r="BD43" s="6">
        <v>240</v>
      </c>
      <c r="BE43" s="6">
        <v>270</v>
      </c>
      <c r="BF43" s="6">
        <v>300</v>
      </c>
      <c r="BG43" s="6">
        <v>330</v>
      </c>
    </row>
    <row r="44" spans="2:59" ht="16" thickBot="1" x14ac:dyDescent="0.4">
      <c r="B44" s="2">
        <v>0</v>
      </c>
      <c r="C44" s="8">
        <v>0</v>
      </c>
      <c r="D44" s="8">
        <v>0.95730000000000004</v>
      </c>
      <c r="E44" s="8">
        <v>1.6580999999999999</v>
      </c>
      <c r="F44" s="8">
        <v>1.9146000000000001</v>
      </c>
      <c r="G44" s="8">
        <v>1.6580999999999999</v>
      </c>
      <c r="H44" s="8">
        <v>0.95730000000000004</v>
      </c>
      <c r="I44" s="9">
        <v>0</v>
      </c>
      <c r="J44" s="9">
        <v>-3.1444000000000001</v>
      </c>
      <c r="K44" s="9">
        <v>-5.4462000000000002</v>
      </c>
      <c r="L44" s="9">
        <v>-6.2888000000000002</v>
      </c>
      <c r="M44" s="9">
        <v>-5.4462000000000002</v>
      </c>
      <c r="N44" s="9">
        <v>-3.1444000000000001</v>
      </c>
      <c r="Q44" s="2">
        <v>0</v>
      </c>
      <c r="R44" s="8">
        <v>0</v>
      </c>
      <c r="S44" s="8">
        <v>0.63700000000000001</v>
      </c>
      <c r="T44" s="8">
        <v>1.1032999999999999</v>
      </c>
      <c r="U44" s="8">
        <v>1.274</v>
      </c>
      <c r="V44" s="8">
        <v>1.1032999999999999</v>
      </c>
      <c r="W44" s="8">
        <v>0.63700000000000001</v>
      </c>
      <c r="X44" s="9">
        <v>0</v>
      </c>
      <c r="Y44" s="9">
        <v>-0.63700000000000001</v>
      </c>
      <c r="Z44" s="9">
        <v>-1.1032999999999999</v>
      </c>
      <c r="AA44" s="9">
        <v>-1.274</v>
      </c>
      <c r="AB44" s="9">
        <v>-1.1032999999999999</v>
      </c>
      <c r="AC44" s="9">
        <v>-0.63700000000000001</v>
      </c>
      <c r="AF44" s="2">
        <v>0</v>
      </c>
      <c r="AG44" s="8">
        <v>0</v>
      </c>
      <c r="AH44" s="8">
        <v>0.32919999999999999</v>
      </c>
      <c r="AI44" s="8">
        <v>0.57010000000000005</v>
      </c>
      <c r="AJ44" s="8">
        <v>0.6583</v>
      </c>
      <c r="AK44" s="8">
        <v>0.57010000000000005</v>
      </c>
      <c r="AL44" s="8">
        <v>0.32919999999999999</v>
      </c>
      <c r="AM44" s="9">
        <v>0</v>
      </c>
      <c r="AN44" s="9">
        <v>-0.32919999999999999</v>
      </c>
      <c r="AO44" s="9">
        <v>-0.57010000000000005</v>
      </c>
      <c r="AP44" s="9">
        <v>-0.6583</v>
      </c>
      <c r="AQ44" s="9">
        <v>-0.57010000000000005</v>
      </c>
      <c r="AR44" s="9">
        <v>-0.32919999999999999</v>
      </c>
      <c r="AU44" s="2">
        <v>0</v>
      </c>
      <c r="AV44" s="8">
        <v>0</v>
      </c>
      <c r="AW44" s="8">
        <v>0.10680000000000001</v>
      </c>
      <c r="AX44" s="8">
        <v>0.185</v>
      </c>
      <c r="AY44" s="8">
        <v>0.21360000000000001</v>
      </c>
      <c r="AZ44" s="8">
        <v>0.185</v>
      </c>
      <c r="BA44" s="8">
        <v>0.10680000000000001</v>
      </c>
      <c r="BB44" s="9">
        <v>0</v>
      </c>
      <c r="BC44" s="9">
        <v>-0.10680000000000001</v>
      </c>
      <c r="BD44" s="9">
        <v>-0.185</v>
      </c>
      <c r="BE44" s="9">
        <v>-0.21360000000000001</v>
      </c>
      <c r="BF44" s="9">
        <v>-0.185</v>
      </c>
      <c r="BG44" s="9">
        <v>-0.10680000000000001</v>
      </c>
    </row>
    <row r="45" spans="2:59" ht="16" thickBot="1" x14ac:dyDescent="0.4">
      <c r="B45" s="2">
        <v>1</v>
      </c>
      <c r="C45" s="8">
        <v>3.3399999999999999E-2</v>
      </c>
      <c r="D45" s="8">
        <v>0.98609999999999998</v>
      </c>
      <c r="E45" s="8">
        <v>1.6745000000000001</v>
      </c>
      <c r="F45" s="8">
        <v>1.9142999999999999</v>
      </c>
      <c r="G45" s="8">
        <v>1.6411</v>
      </c>
      <c r="H45" s="8">
        <v>0.92820000000000003</v>
      </c>
      <c r="I45" s="9">
        <v>-0.10979999999999999</v>
      </c>
      <c r="J45" s="9">
        <v>-3.2389999999999999</v>
      </c>
      <c r="K45" s="9">
        <v>-5.5003000000000002</v>
      </c>
      <c r="L45" s="9">
        <v>-6.2877999999999998</v>
      </c>
      <c r="M45" s="9">
        <v>-5.3905000000000003</v>
      </c>
      <c r="N45" s="9">
        <v>-3.0489000000000002</v>
      </c>
      <c r="Q45" s="2">
        <v>1</v>
      </c>
      <c r="R45" s="8">
        <v>2.2200000000000001E-2</v>
      </c>
      <c r="S45" s="8">
        <v>0.65620000000000001</v>
      </c>
      <c r="T45" s="8">
        <v>1.1143000000000001</v>
      </c>
      <c r="U45" s="8">
        <v>1.2738</v>
      </c>
      <c r="V45" s="8">
        <v>1.0921000000000001</v>
      </c>
      <c r="W45" s="8">
        <v>0.61770000000000003</v>
      </c>
      <c r="X45" s="9">
        <v>-2.2200000000000001E-2</v>
      </c>
      <c r="Y45" s="9">
        <v>-0.65620000000000001</v>
      </c>
      <c r="Z45" s="9">
        <v>-1.1143000000000001</v>
      </c>
      <c r="AA45" s="9">
        <v>-1.2738</v>
      </c>
      <c r="AB45" s="9">
        <v>-1.0921000000000001</v>
      </c>
      <c r="AC45" s="9">
        <v>-0.61770000000000003</v>
      </c>
      <c r="AF45" s="2">
        <v>1</v>
      </c>
      <c r="AG45" s="8">
        <v>1.15E-2</v>
      </c>
      <c r="AH45" s="8">
        <v>0.33910000000000001</v>
      </c>
      <c r="AI45" s="8">
        <v>0.57579999999999998</v>
      </c>
      <c r="AJ45" s="8">
        <v>0.65820000000000001</v>
      </c>
      <c r="AK45" s="8">
        <v>0.56430000000000002</v>
      </c>
      <c r="AL45" s="8">
        <v>0.31919999999999998</v>
      </c>
      <c r="AM45" s="9">
        <v>-1.15E-2</v>
      </c>
      <c r="AN45" s="9">
        <v>-0.33910000000000001</v>
      </c>
      <c r="AO45" s="9">
        <v>-0.57579999999999998</v>
      </c>
      <c r="AP45" s="9">
        <v>-0.65820000000000001</v>
      </c>
      <c r="AQ45" s="9">
        <v>-0.56430000000000002</v>
      </c>
      <c r="AR45" s="9">
        <v>-0.31919999999999998</v>
      </c>
      <c r="AU45" s="2">
        <v>1</v>
      </c>
      <c r="AV45" s="8">
        <v>3.7000000000000002E-3</v>
      </c>
      <c r="AW45" s="8">
        <v>0.11</v>
      </c>
      <c r="AX45" s="8">
        <v>0.18679999999999999</v>
      </c>
      <c r="AY45" s="8">
        <v>0.21360000000000001</v>
      </c>
      <c r="AZ45" s="8">
        <v>0.18310000000000001</v>
      </c>
      <c r="BA45" s="8">
        <v>0.1036</v>
      </c>
      <c r="BB45" s="9">
        <v>-3.7000000000000002E-3</v>
      </c>
      <c r="BC45" s="9">
        <v>-0.11</v>
      </c>
      <c r="BD45" s="9">
        <v>-0.18679999999999999</v>
      </c>
      <c r="BE45" s="9">
        <v>-0.21360000000000001</v>
      </c>
      <c r="BF45" s="9">
        <v>-0.18310000000000001</v>
      </c>
      <c r="BG45" s="9">
        <v>-0.1036</v>
      </c>
    </row>
    <row r="46" spans="2:59" ht="16" thickBot="1" x14ac:dyDescent="0.4">
      <c r="B46" s="2">
        <v>2</v>
      </c>
      <c r="C46" s="8">
        <v>6.6799999999999998E-2</v>
      </c>
      <c r="D46" s="8">
        <v>1.0145999999999999</v>
      </c>
      <c r="E46" s="8">
        <v>1.6904999999999999</v>
      </c>
      <c r="F46" s="8">
        <v>1.9134</v>
      </c>
      <c r="G46" s="8">
        <v>1.6236999999999999</v>
      </c>
      <c r="H46" s="8">
        <v>0.89890000000000003</v>
      </c>
      <c r="I46" s="9">
        <v>-0.2195</v>
      </c>
      <c r="J46" s="9">
        <v>-3.3325</v>
      </c>
      <c r="K46" s="9">
        <v>-5.5526999999999997</v>
      </c>
      <c r="L46" s="9">
        <v>-6.2849000000000004</v>
      </c>
      <c r="M46" s="9">
        <v>-5.3331999999999997</v>
      </c>
      <c r="N46" s="9">
        <v>-2.9523999999999999</v>
      </c>
      <c r="Q46" s="2">
        <v>2</v>
      </c>
      <c r="R46" s="8">
        <v>4.4499999999999998E-2</v>
      </c>
      <c r="S46" s="8">
        <v>0.67510000000000003</v>
      </c>
      <c r="T46" s="8">
        <v>1.1249</v>
      </c>
      <c r="U46" s="8">
        <v>1.2733000000000001</v>
      </c>
      <c r="V46" s="8">
        <v>1.0804</v>
      </c>
      <c r="W46" s="8">
        <v>0.59809999999999997</v>
      </c>
      <c r="X46" s="9">
        <v>-4.4499999999999998E-2</v>
      </c>
      <c r="Y46" s="9">
        <v>-0.67510000000000003</v>
      </c>
      <c r="Z46" s="9">
        <v>-1.1249</v>
      </c>
      <c r="AA46" s="9">
        <v>-1.2733000000000001</v>
      </c>
      <c r="AB46" s="9">
        <v>-1.0804</v>
      </c>
      <c r="AC46" s="9">
        <v>-0.59809999999999997</v>
      </c>
      <c r="AF46" s="2">
        <v>2</v>
      </c>
      <c r="AG46" s="8">
        <v>2.3E-2</v>
      </c>
      <c r="AH46" s="8">
        <v>0.34889999999999999</v>
      </c>
      <c r="AI46" s="8">
        <v>0.58130000000000004</v>
      </c>
      <c r="AJ46" s="8">
        <v>0.65790000000000004</v>
      </c>
      <c r="AK46" s="8">
        <v>0.55830000000000002</v>
      </c>
      <c r="AL46" s="8">
        <v>0.30909999999999999</v>
      </c>
      <c r="AM46" s="9">
        <v>-2.3E-2</v>
      </c>
      <c r="AN46" s="9">
        <v>-0.34889999999999999</v>
      </c>
      <c r="AO46" s="9">
        <v>-0.58130000000000004</v>
      </c>
      <c r="AP46" s="9">
        <v>-0.65790000000000004</v>
      </c>
      <c r="AQ46" s="9">
        <v>-0.55830000000000002</v>
      </c>
      <c r="AR46" s="9">
        <v>-0.30909999999999999</v>
      </c>
      <c r="AU46" s="2">
        <v>2</v>
      </c>
      <c r="AV46" s="8">
        <v>7.4999999999999997E-3</v>
      </c>
      <c r="AW46" s="8">
        <v>0.1132</v>
      </c>
      <c r="AX46" s="8">
        <v>0.18859999999999999</v>
      </c>
      <c r="AY46" s="8">
        <v>0.2135</v>
      </c>
      <c r="AZ46" s="8">
        <v>0.1812</v>
      </c>
      <c r="BA46" s="8">
        <v>0.1003</v>
      </c>
      <c r="BB46" s="9">
        <v>-7.4999999999999997E-3</v>
      </c>
      <c r="BC46" s="9">
        <v>-0.1132</v>
      </c>
      <c r="BD46" s="9">
        <v>-0.18859999999999999</v>
      </c>
      <c r="BE46" s="9">
        <v>-0.2135</v>
      </c>
      <c r="BF46" s="9">
        <v>-0.1812</v>
      </c>
      <c r="BG46" s="9">
        <v>-0.1003</v>
      </c>
    </row>
    <row r="47" spans="2:59" ht="16" thickBot="1" x14ac:dyDescent="0.4">
      <c r="B47" s="2">
        <v>3</v>
      </c>
      <c r="C47" s="8">
        <v>0.1002</v>
      </c>
      <c r="D47" s="8">
        <v>1.0427999999999999</v>
      </c>
      <c r="E47" s="8">
        <v>1.7059</v>
      </c>
      <c r="F47" s="8">
        <v>1.9119999999999999</v>
      </c>
      <c r="G47" s="8">
        <v>1.6056999999999999</v>
      </c>
      <c r="H47" s="8">
        <v>0.86919999999999997</v>
      </c>
      <c r="I47" s="9">
        <v>-0.3291</v>
      </c>
      <c r="J47" s="9">
        <v>-3.4251</v>
      </c>
      <c r="K47" s="9">
        <v>-5.6032999999999999</v>
      </c>
      <c r="L47" s="9">
        <v>-6.2801999999999998</v>
      </c>
      <c r="M47" s="9">
        <v>-5.2742000000000004</v>
      </c>
      <c r="N47" s="9">
        <v>-2.855</v>
      </c>
      <c r="Q47" s="2">
        <v>3</v>
      </c>
      <c r="R47" s="8">
        <v>6.6699999999999995E-2</v>
      </c>
      <c r="S47" s="8">
        <v>0.69389999999999996</v>
      </c>
      <c r="T47" s="8">
        <v>1.1352</v>
      </c>
      <c r="U47" s="8">
        <v>1.2723</v>
      </c>
      <c r="V47" s="8">
        <v>1.0685</v>
      </c>
      <c r="W47" s="8">
        <v>0.57840000000000003</v>
      </c>
      <c r="X47" s="9">
        <v>-6.6699999999999995E-2</v>
      </c>
      <c r="Y47" s="9">
        <v>-0.69389999999999996</v>
      </c>
      <c r="Z47" s="9">
        <v>-1.1352</v>
      </c>
      <c r="AA47" s="9">
        <v>-1.2723</v>
      </c>
      <c r="AB47" s="9">
        <v>-1.0685</v>
      </c>
      <c r="AC47" s="9">
        <v>-0.57840000000000003</v>
      </c>
      <c r="AF47" s="2">
        <v>3</v>
      </c>
      <c r="AG47" s="8">
        <v>3.4500000000000003E-2</v>
      </c>
      <c r="AH47" s="8">
        <v>0.35849999999999999</v>
      </c>
      <c r="AI47" s="8">
        <v>0.58660000000000001</v>
      </c>
      <c r="AJ47" s="8">
        <v>0.65739999999999998</v>
      </c>
      <c r="AK47" s="8">
        <v>0.55210000000000004</v>
      </c>
      <c r="AL47" s="8">
        <v>0.2989</v>
      </c>
      <c r="AM47" s="9">
        <v>-3.4500000000000003E-2</v>
      </c>
      <c r="AN47" s="9">
        <v>-0.35849999999999999</v>
      </c>
      <c r="AO47" s="9">
        <v>-0.58660000000000001</v>
      </c>
      <c r="AP47" s="9">
        <v>-0.65739999999999998</v>
      </c>
      <c r="AQ47" s="9">
        <v>-0.55210000000000004</v>
      </c>
      <c r="AR47" s="9">
        <v>-0.2989</v>
      </c>
      <c r="AU47" s="2">
        <v>3</v>
      </c>
      <c r="AV47" s="8">
        <v>1.12E-2</v>
      </c>
      <c r="AW47" s="8">
        <v>0.1163</v>
      </c>
      <c r="AX47" s="8">
        <v>0.1903</v>
      </c>
      <c r="AY47" s="8">
        <v>0.21329999999999999</v>
      </c>
      <c r="AZ47" s="8">
        <v>0.1792</v>
      </c>
      <c r="BA47" s="8">
        <v>9.7000000000000003E-2</v>
      </c>
      <c r="BB47" s="9">
        <v>-1.12E-2</v>
      </c>
      <c r="BC47" s="9">
        <v>-0.1163</v>
      </c>
      <c r="BD47" s="9">
        <v>-0.1903</v>
      </c>
      <c r="BE47" s="9">
        <v>-0.21329999999999999</v>
      </c>
      <c r="BF47" s="9">
        <v>-0.1792</v>
      </c>
      <c r="BG47" s="9">
        <v>-9.7000000000000003E-2</v>
      </c>
    </row>
    <row r="48" spans="2:59" ht="16" thickBot="1" x14ac:dyDescent="0.4">
      <c r="B48" s="2">
        <v>4</v>
      </c>
      <c r="C48" s="8">
        <v>0.1336</v>
      </c>
      <c r="D48" s="8">
        <v>1.0706</v>
      </c>
      <c r="E48" s="8">
        <v>1.7208000000000001</v>
      </c>
      <c r="F48" s="8">
        <v>1.9098999999999999</v>
      </c>
      <c r="G48" s="8">
        <v>1.5872999999999999</v>
      </c>
      <c r="H48" s="8">
        <v>0.83930000000000005</v>
      </c>
      <c r="I48" s="9">
        <v>-0.43869999999999998</v>
      </c>
      <c r="J48" s="9">
        <v>-3.5165999999999999</v>
      </c>
      <c r="K48" s="9">
        <v>-5.6523000000000003</v>
      </c>
      <c r="L48" s="9">
        <v>-6.2735000000000003</v>
      </c>
      <c r="M48" s="9">
        <v>-5.2135999999999996</v>
      </c>
      <c r="N48" s="9">
        <v>-2.7568000000000001</v>
      </c>
      <c r="Q48" s="2">
        <v>4</v>
      </c>
      <c r="R48" s="8">
        <v>8.8900000000000007E-2</v>
      </c>
      <c r="S48" s="8">
        <v>0.71240000000000003</v>
      </c>
      <c r="T48" s="8">
        <v>1.1451</v>
      </c>
      <c r="U48" s="8">
        <v>1.2708999999999999</v>
      </c>
      <c r="V48" s="8">
        <v>1.0562</v>
      </c>
      <c r="W48" s="8">
        <v>0.5585</v>
      </c>
      <c r="X48" s="9">
        <v>-8.8900000000000007E-2</v>
      </c>
      <c r="Y48" s="9">
        <v>-0.71240000000000003</v>
      </c>
      <c r="Z48" s="9">
        <v>-1.1451</v>
      </c>
      <c r="AA48" s="9">
        <v>-1.2708999999999999</v>
      </c>
      <c r="AB48" s="9">
        <v>-1.0562</v>
      </c>
      <c r="AC48" s="9">
        <v>-0.5585</v>
      </c>
      <c r="AF48" s="2">
        <v>4</v>
      </c>
      <c r="AG48" s="8">
        <v>4.5900000000000003E-2</v>
      </c>
      <c r="AH48" s="8">
        <v>0.36809999999999998</v>
      </c>
      <c r="AI48" s="8">
        <v>0.5917</v>
      </c>
      <c r="AJ48" s="8">
        <v>0.65669999999999995</v>
      </c>
      <c r="AK48" s="8">
        <v>0.54579999999999995</v>
      </c>
      <c r="AL48" s="8">
        <v>0.28860000000000002</v>
      </c>
      <c r="AM48" s="9">
        <v>-4.5900000000000003E-2</v>
      </c>
      <c r="AN48" s="9">
        <v>-0.36809999999999998</v>
      </c>
      <c r="AO48" s="9">
        <v>-0.5917</v>
      </c>
      <c r="AP48" s="9">
        <v>-0.65669999999999995</v>
      </c>
      <c r="AQ48" s="9">
        <v>-0.54579999999999995</v>
      </c>
      <c r="AR48" s="9">
        <v>-0.28860000000000002</v>
      </c>
      <c r="AU48" s="2">
        <v>4</v>
      </c>
      <c r="AV48" s="8">
        <v>1.49E-2</v>
      </c>
      <c r="AW48" s="8">
        <v>0.1195</v>
      </c>
      <c r="AX48" s="8">
        <v>0.192</v>
      </c>
      <c r="AY48" s="8">
        <v>0.21310000000000001</v>
      </c>
      <c r="AZ48" s="8">
        <v>0.17710000000000001</v>
      </c>
      <c r="BA48" s="8">
        <v>9.3600000000000003E-2</v>
      </c>
      <c r="BB48" s="9">
        <v>-1.49E-2</v>
      </c>
      <c r="BC48" s="9">
        <v>-0.1195</v>
      </c>
      <c r="BD48" s="9">
        <v>-0.192</v>
      </c>
      <c r="BE48" s="9">
        <v>-0.21310000000000001</v>
      </c>
      <c r="BF48" s="9">
        <v>-0.17710000000000001</v>
      </c>
      <c r="BG48" s="9">
        <v>-9.3600000000000003E-2</v>
      </c>
    </row>
    <row r="49" spans="2:59" ht="16" thickBot="1" x14ac:dyDescent="0.4">
      <c r="B49" s="2">
        <v>5</v>
      </c>
      <c r="C49" s="8">
        <v>0.16689999999999999</v>
      </c>
      <c r="D49" s="8">
        <v>1.0982000000000001</v>
      </c>
      <c r="E49" s="8">
        <v>1.7352000000000001</v>
      </c>
      <c r="F49" s="8">
        <v>1.9073</v>
      </c>
      <c r="G49" s="8">
        <v>1.5683</v>
      </c>
      <c r="H49" s="8">
        <v>0.80910000000000004</v>
      </c>
      <c r="I49" s="9">
        <v>-0.54810000000000003</v>
      </c>
      <c r="J49" s="9">
        <v>-3.6071</v>
      </c>
      <c r="K49" s="9">
        <v>-5.6996000000000002</v>
      </c>
      <c r="L49" s="9">
        <v>-6.2648000000000001</v>
      </c>
      <c r="M49" s="9">
        <v>-5.1515000000000004</v>
      </c>
      <c r="N49" s="9">
        <v>-2.6577999999999999</v>
      </c>
      <c r="Q49" s="2">
        <v>5</v>
      </c>
      <c r="R49" s="8">
        <v>0.111</v>
      </c>
      <c r="S49" s="8">
        <v>0.73080000000000001</v>
      </c>
      <c r="T49" s="8">
        <v>1.1547000000000001</v>
      </c>
      <c r="U49" s="8">
        <v>1.2692000000000001</v>
      </c>
      <c r="V49" s="8">
        <v>1.0436000000000001</v>
      </c>
      <c r="W49" s="8">
        <v>0.53839999999999999</v>
      </c>
      <c r="X49" s="9">
        <v>-0.111</v>
      </c>
      <c r="Y49" s="9">
        <v>-0.73080000000000001</v>
      </c>
      <c r="Z49" s="9">
        <v>-1.1547000000000001</v>
      </c>
      <c r="AA49" s="9">
        <v>-1.2692000000000001</v>
      </c>
      <c r="AB49" s="9">
        <v>-1.0436000000000001</v>
      </c>
      <c r="AC49" s="9">
        <v>-0.53839999999999999</v>
      </c>
      <c r="AF49" s="2">
        <v>5</v>
      </c>
      <c r="AG49" s="8">
        <v>5.74E-2</v>
      </c>
      <c r="AH49" s="8">
        <v>0.37759999999999999</v>
      </c>
      <c r="AI49" s="8">
        <v>0.59660000000000002</v>
      </c>
      <c r="AJ49" s="8">
        <v>0.65580000000000005</v>
      </c>
      <c r="AK49" s="8">
        <v>0.5393</v>
      </c>
      <c r="AL49" s="8">
        <v>0.2782</v>
      </c>
      <c r="AM49" s="9">
        <v>-5.74E-2</v>
      </c>
      <c r="AN49" s="9">
        <v>-0.37759999999999999</v>
      </c>
      <c r="AO49" s="9">
        <v>-0.59660000000000002</v>
      </c>
      <c r="AP49" s="9">
        <v>-0.65580000000000005</v>
      </c>
      <c r="AQ49" s="9">
        <v>-0.5393</v>
      </c>
      <c r="AR49" s="9">
        <v>-0.2782</v>
      </c>
      <c r="AU49" s="2">
        <v>5</v>
      </c>
      <c r="AV49" s="8">
        <v>1.8599999999999998E-2</v>
      </c>
      <c r="AW49" s="8">
        <v>0.1225</v>
      </c>
      <c r="AX49" s="8">
        <v>0.19359999999999999</v>
      </c>
      <c r="AY49" s="8">
        <v>0.21279999999999999</v>
      </c>
      <c r="AZ49" s="8">
        <v>0.17499999999999999</v>
      </c>
      <c r="BA49" s="8">
        <v>9.0300000000000005E-2</v>
      </c>
      <c r="BB49" s="9">
        <v>-1.8599999999999998E-2</v>
      </c>
      <c r="BC49" s="9">
        <v>-0.1225</v>
      </c>
      <c r="BD49" s="9">
        <v>-0.19359999999999999</v>
      </c>
      <c r="BE49" s="9">
        <v>-0.21279999999999999</v>
      </c>
      <c r="BF49" s="9">
        <v>-0.17499999999999999</v>
      </c>
      <c r="BG49" s="9">
        <v>-9.0300000000000005E-2</v>
      </c>
    </row>
    <row r="50" spans="2:59" ht="16" thickBot="1" x14ac:dyDescent="0.4">
      <c r="B50" s="2">
        <v>6</v>
      </c>
      <c r="C50" s="8">
        <v>0.2001</v>
      </c>
      <c r="D50" s="8">
        <v>1.1254</v>
      </c>
      <c r="E50" s="8">
        <v>1.7491000000000001</v>
      </c>
      <c r="F50" s="8">
        <v>1.9040999999999999</v>
      </c>
      <c r="G50" s="8">
        <v>1.5488999999999999</v>
      </c>
      <c r="H50" s="8">
        <v>0.77869999999999995</v>
      </c>
      <c r="I50" s="9">
        <v>-0.65739999999999998</v>
      </c>
      <c r="J50" s="9">
        <v>-3.6964000000000001</v>
      </c>
      <c r="K50" s="9">
        <v>-5.7450999999999999</v>
      </c>
      <c r="L50" s="9">
        <v>-6.2542999999999997</v>
      </c>
      <c r="M50" s="9">
        <v>-5.0876999999999999</v>
      </c>
      <c r="N50" s="9">
        <v>-2.5579000000000001</v>
      </c>
      <c r="Q50" s="2">
        <v>6</v>
      </c>
      <c r="R50" s="8">
        <v>0.13320000000000001</v>
      </c>
      <c r="S50" s="8">
        <v>0.74890000000000001</v>
      </c>
      <c r="T50" s="8">
        <v>1.1638999999999999</v>
      </c>
      <c r="U50" s="8">
        <v>1.2669999999999999</v>
      </c>
      <c r="V50" s="8">
        <v>1.0306999999999999</v>
      </c>
      <c r="W50" s="8">
        <v>0.51819999999999999</v>
      </c>
      <c r="X50" s="9">
        <v>-0.13320000000000001</v>
      </c>
      <c r="Y50" s="9">
        <v>-0.74890000000000001</v>
      </c>
      <c r="Z50" s="9">
        <v>-1.1638999999999999</v>
      </c>
      <c r="AA50" s="9">
        <v>-1.2669999999999999</v>
      </c>
      <c r="AB50" s="9">
        <v>-1.0306999999999999</v>
      </c>
      <c r="AC50" s="9">
        <v>-0.51819999999999999</v>
      </c>
      <c r="AF50" s="2">
        <v>6</v>
      </c>
      <c r="AG50" s="8">
        <v>6.88E-2</v>
      </c>
      <c r="AH50" s="8">
        <v>0.38690000000000002</v>
      </c>
      <c r="AI50" s="8">
        <v>0.60140000000000005</v>
      </c>
      <c r="AJ50" s="8">
        <v>0.65469999999999995</v>
      </c>
      <c r="AK50" s="8">
        <v>0.53259999999999996</v>
      </c>
      <c r="AL50" s="8">
        <v>0.26779999999999998</v>
      </c>
      <c r="AM50" s="9">
        <v>-6.88E-2</v>
      </c>
      <c r="AN50" s="9">
        <v>-0.38690000000000002</v>
      </c>
      <c r="AO50" s="9">
        <v>-0.60140000000000005</v>
      </c>
      <c r="AP50" s="9">
        <v>-0.65469999999999995</v>
      </c>
      <c r="AQ50" s="9">
        <v>-0.53259999999999996</v>
      </c>
      <c r="AR50" s="9">
        <v>-0.26779999999999998</v>
      </c>
      <c r="AU50" s="2">
        <v>6</v>
      </c>
      <c r="AV50" s="8">
        <v>2.23E-2</v>
      </c>
      <c r="AW50" s="8">
        <v>0.12559999999999999</v>
      </c>
      <c r="AX50" s="8">
        <v>0.1951</v>
      </c>
      <c r="AY50" s="8">
        <v>0.21240000000000001</v>
      </c>
      <c r="AZ50" s="8">
        <v>0.17280000000000001</v>
      </c>
      <c r="BA50" s="8">
        <v>8.6900000000000005E-2</v>
      </c>
      <c r="BB50" s="9">
        <v>-2.23E-2</v>
      </c>
      <c r="BC50" s="9">
        <v>-0.12559999999999999</v>
      </c>
      <c r="BD50" s="9">
        <v>-0.1951</v>
      </c>
      <c r="BE50" s="9">
        <v>-0.21240000000000001</v>
      </c>
      <c r="BF50" s="9">
        <v>-0.17280000000000001</v>
      </c>
      <c r="BG50" s="9">
        <v>-8.6900000000000005E-2</v>
      </c>
    </row>
    <row r="51" spans="2:59" ht="16" thickBot="1" x14ac:dyDescent="0.4">
      <c r="B51" s="2">
        <v>7</v>
      </c>
      <c r="C51" s="8">
        <v>0.23330000000000001</v>
      </c>
      <c r="D51" s="8">
        <v>1.1521999999999999</v>
      </c>
      <c r="E51" s="8">
        <v>1.7624</v>
      </c>
      <c r="F51" s="8">
        <v>1.9003000000000001</v>
      </c>
      <c r="G51" s="8">
        <v>1.5290999999999999</v>
      </c>
      <c r="H51" s="8">
        <v>0.74809999999999999</v>
      </c>
      <c r="I51" s="9">
        <v>-0.76639999999999997</v>
      </c>
      <c r="J51" s="9">
        <v>-3.7847</v>
      </c>
      <c r="K51" s="9">
        <v>-5.7888000000000002</v>
      </c>
      <c r="L51" s="9">
        <v>-6.2419000000000002</v>
      </c>
      <c r="M51" s="9">
        <v>-5.0224000000000002</v>
      </c>
      <c r="N51" s="9">
        <v>-2.4571999999999998</v>
      </c>
      <c r="Q51" s="2">
        <v>7</v>
      </c>
      <c r="R51" s="8">
        <v>0.15529999999999999</v>
      </c>
      <c r="S51" s="8">
        <v>0.76670000000000005</v>
      </c>
      <c r="T51" s="8">
        <v>1.1727000000000001</v>
      </c>
      <c r="U51" s="8">
        <v>1.2645</v>
      </c>
      <c r="V51" s="8">
        <v>1.0175000000000001</v>
      </c>
      <c r="W51" s="8">
        <v>0.49780000000000002</v>
      </c>
      <c r="X51" s="9">
        <v>-0.15529999999999999</v>
      </c>
      <c r="Y51" s="9">
        <v>-0.76670000000000005</v>
      </c>
      <c r="Z51" s="9">
        <v>-1.1727000000000001</v>
      </c>
      <c r="AA51" s="9">
        <v>-1.2645</v>
      </c>
      <c r="AB51" s="9">
        <v>-1.0175000000000001</v>
      </c>
      <c r="AC51" s="9">
        <v>-0.49780000000000002</v>
      </c>
      <c r="AF51" s="2">
        <v>7</v>
      </c>
      <c r="AG51" s="8">
        <v>8.0199999999999994E-2</v>
      </c>
      <c r="AH51" s="8">
        <v>0.3962</v>
      </c>
      <c r="AI51" s="8">
        <v>0.60599999999999998</v>
      </c>
      <c r="AJ51" s="8">
        <v>0.65339999999999998</v>
      </c>
      <c r="AK51" s="8">
        <v>0.52580000000000005</v>
      </c>
      <c r="AL51" s="8">
        <v>0.25719999999999998</v>
      </c>
      <c r="AM51" s="9">
        <v>-8.0199999999999994E-2</v>
      </c>
      <c r="AN51" s="9">
        <v>-0.3962</v>
      </c>
      <c r="AO51" s="9">
        <v>-0.60599999999999998</v>
      </c>
      <c r="AP51" s="9">
        <v>-0.65339999999999998</v>
      </c>
      <c r="AQ51" s="9">
        <v>-0.52580000000000005</v>
      </c>
      <c r="AR51" s="9">
        <v>-0.25719999999999998</v>
      </c>
      <c r="AU51" s="2">
        <v>7</v>
      </c>
      <c r="AV51" s="8">
        <v>2.5999999999999999E-2</v>
      </c>
      <c r="AW51" s="8">
        <v>0.12859999999999999</v>
      </c>
      <c r="AX51" s="8">
        <v>0.1966</v>
      </c>
      <c r="AY51" s="8">
        <v>0.21199999999999999</v>
      </c>
      <c r="AZ51" s="8">
        <v>0.1706</v>
      </c>
      <c r="BA51" s="8">
        <v>8.3500000000000005E-2</v>
      </c>
      <c r="BB51" s="9">
        <v>-2.5999999999999999E-2</v>
      </c>
      <c r="BC51" s="9">
        <v>-0.12859999999999999</v>
      </c>
      <c r="BD51" s="9">
        <v>-0.1966</v>
      </c>
      <c r="BE51" s="9">
        <v>-0.21199999999999999</v>
      </c>
      <c r="BF51" s="9">
        <v>-0.1706</v>
      </c>
      <c r="BG51" s="9">
        <v>-8.3500000000000005E-2</v>
      </c>
    </row>
    <row r="52" spans="2:59" ht="16" thickBot="1" x14ac:dyDescent="0.4">
      <c r="B52" s="2">
        <v>8</v>
      </c>
      <c r="C52" s="8">
        <v>0.26650000000000001</v>
      </c>
      <c r="D52" s="8">
        <v>1.1787000000000001</v>
      </c>
      <c r="E52" s="8">
        <v>1.7751999999999999</v>
      </c>
      <c r="F52" s="8">
        <v>1.8959999999999999</v>
      </c>
      <c r="G52" s="8">
        <v>1.5086999999999999</v>
      </c>
      <c r="H52" s="8">
        <v>0.71719999999999995</v>
      </c>
      <c r="I52" s="9">
        <v>-0.87519999999999998</v>
      </c>
      <c r="J52" s="9">
        <v>-3.8717999999999999</v>
      </c>
      <c r="K52" s="9">
        <v>-5.8308</v>
      </c>
      <c r="L52" s="9">
        <v>-6.2275999999999998</v>
      </c>
      <c r="M52" s="9">
        <v>-4.9555999999999996</v>
      </c>
      <c r="N52" s="9">
        <v>-2.3557999999999999</v>
      </c>
      <c r="Q52" s="2">
        <v>8</v>
      </c>
      <c r="R52" s="8">
        <v>0.17730000000000001</v>
      </c>
      <c r="S52" s="8">
        <v>0.78439999999999999</v>
      </c>
      <c r="T52" s="8">
        <v>1.1813</v>
      </c>
      <c r="U52" s="8">
        <v>1.2616000000000001</v>
      </c>
      <c r="V52" s="8">
        <v>1.0039</v>
      </c>
      <c r="W52" s="8">
        <v>0.4773</v>
      </c>
      <c r="X52" s="9">
        <v>-0.17730000000000001</v>
      </c>
      <c r="Y52" s="9">
        <v>-0.78439999999999999</v>
      </c>
      <c r="Z52" s="9">
        <v>-1.1813</v>
      </c>
      <c r="AA52" s="9">
        <v>-1.2616000000000001</v>
      </c>
      <c r="AB52" s="9">
        <v>-1.0039</v>
      </c>
      <c r="AC52" s="9">
        <v>-0.4773</v>
      </c>
      <c r="AF52" s="2">
        <v>8</v>
      </c>
      <c r="AG52" s="8">
        <v>9.1600000000000001E-2</v>
      </c>
      <c r="AH52" s="8">
        <v>0.40529999999999999</v>
      </c>
      <c r="AI52" s="8">
        <v>0.61040000000000005</v>
      </c>
      <c r="AJ52" s="8">
        <v>0.65190000000000003</v>
      </c>
      <c r="AK52" s="8">
        <v>0.51880000000000004</v>
      </c>
      <c r="AL52" s="8">
        <v>0.24660000000000001</v>
      </c>
      <c r="AM52" s="9">
        <v>-9.1600000000000001E-2</v>
      </c>
      <c r="AN52" s="9">
        <v>-0.40529999999999999</v>
      </c>
      <c r="AO52" s="9">
        <v>-0.61040000000000005</v>
      </c>
      <c r="AP52" s="9">
        <v>-0.65190000000000003</v>
      </c>
      <c r="AQ52" s="9">
        <v>-0.51880000000000004</v>
      </c>
      <c r="AR52" s="9">
        <v>-0.24660000000000001</v>
      </c>
      <c r="AU52" s="2">
        <v>8</v>
      </c>
      <c r="AV52" s="8">
        <v>2.9700000000000001E-2</v>
      </c>
      <c r="AW52" s="8">
        <v>0.13150000000000001</v>
      </c>
      <c r="AX52" s="8">
        <v>0.1981</v>
      </c>
      <c r="AY52" s="8">
        <v>0.21149999999999999</v>
      </c>
      <c r="AZ52" s="8">
        <v>0.16830000000000001</v>
      </c>
      <c r="BA52" s="8">
        <v>0.08</v>
      </c>
      <c r="BB52" s="9">
        <v>-2.9700000000000001E-2</v>
      </c>
      <c r="BC52" s="9">
        <v>-0.13150000000000001</v>
      </c>
      <c r="BD52" s="9">
        <v>-0.1981</v>
      </c>
      <c r="BE52" s="9">
        <v>-0.21149999999999999</v>
      </c>
      <c r="BF52" s="9">
        <v>-0.16830000000000001</v>
      </c>
      <c r="BG52" s="9">
        <v>-0.08</v>
      </c>
    </row>
    <row r="53" spans="2:59" ht="16" thickBot="1" x14ac:dyDescent="0.4">
      <c r="B53" s="2">
        <v>9</v>
      </c>
      <c r="C53" s="8">
        <v>0.29949999999999999</v>
      </c>
      <c r="D53" s="8">
        <v>1.2049000000000001</v>
      </c>
      <c r="E53" s="8">
        <v>1.7874000000000001</v>
      </c>
      <c r="F53" s="8">
        <v>1.891</v>
      </c>
      <c r="G53" s="8">
        <v>1.4879</v>
      </c>
      <c r="H53" s="8">
        <v>0.68610000000000004</v>
      </c>
      <c r="I53" s="9">
        <v>-0.98380000000000001</v>
      </c>
      <c r="J53" s="9">
        <v>-3.9577</v>
      </c>
      <c r="K53" s="9">
        <v>-5.8711000000000002</v>
      </c>
      <c r="L53" s="9">
        <v>-6.2112999999999996</v>
      </c>
      <c r="M53" s="9">
        <v>-4.8872999999999998</v>
      </c>
      <c r="N53" s="9">
        <v>-2.2536999999999998</v>
      </c>
      <c r="Q53" s="2">
        <v>9</v>
      </c>
      <c r="R53" s="8">
        <v>0.1993</v>
      </c>
      <c r="S53" s="8">
        <v>0.80179999999999996</v>
      </c>
      <c r="T53" s="8">
        <v>1.1894</v>
      </c>
      <c r="U53" s="8">
        <v>1.2583</v>
      </c>
      <c r="V53" s="8">
        <v>0.99009999999999998</v>
      </c>
      <c r="W53" s="8">
        <v>0.45660000000000001</v>
      </c>
      <c r="X53" s="9">
        <v>-0.1993</v>
      </c>
      <c r="Y53" s="9">
        <v>-0.80179999999999996</v>
      </c>
      <c r="Z53" s="9">
        <v>-1.1894</v>
      </c>
      <c r="AA53" s="9">
        <v>-1.2583</v>
      </c>
      <c r="AB53" s="9">
        <v>-0.99009999999999998</v>
      </c>
      <c r="AC53" s="9">
        <v>-0.45660000000000001</v>
      </c>
      <c r="AF53" s="2">
        <v>9</v>
      </c>
      <c r="AG53" s="8">
        <v>0.10299999999999999</v>
      </c>
      <c r="AH53" s="8">
        <v>0.4143</v>
      </c>
      <c r="AI53" s="8">
        <v>0.61460000000000004</v>
      </c>
      <c r="AJ53" s="8">
        <v>0.6502</v>
      </c>
      <c r="AK53" s="8">
        <v>0.51160000000000005</v>
      </c>
      <c r="AL53" s="8">
        <v>0.2359</v>
      </c>
      <c r="AM53" s="9">
        <v>-0.10299999999999999</v>
      </c>
      <c r="AN53" s="9">
        <v>-0.4143</v>
      </c>
      <c r="AO53" s="9">
        <v>-0.61460000000000004</v>
      </c>
      <c r="AP53" s="9">
        <v>-0.6502</v>
      </c>
      <c r="AQ53" s="9">
        <v>-0.51160000000000005</v>
      </c>
      <c r="AR53" s="9">
        <v>-0.2359</v>
      </c>
      <c r="AU53" s="2">
        <v>9</v>
      </c>
      <c r="AV53" s="8">
        <v>3.3399999999999999E-2</v>
      </c>
      <c r="AW53" s="8">
        <v>0.13439999999999999</v>
      </c>
      <c r="AX53" s="8">
        <v>0.19939999999999999</v>
      </c>
      <c r="AY53" s="8">
        <v>0.21099999999999999</v>
      </c>
      <c r="AZ53" s="8">
        <v>0.16600000000000001</v>
      </c>
      <c r="BA53" s="8">
        <v>7.6600000000000001E-2</v>
      </c>
      <c r="BB53" s="9">
        <v>-3.3399999999999999E-2</v>
      </c>
      <c r="BC53" s="9">
        <v>-0.13439999999999999</v>
      </c>
      <c r="BD53" s="9">
        <v>-0.19939999999999999</v>
      </c>
      <c r="BE53" s="9">
        <v>-0.21099999999999999</v>
      </c>
      <c r="BF53" s="9">
        <v>-0.16600000000000001</v>
      </c>
      <c r="BG53" s="9">
        <v>-7.6600000000000001E-2</v>
      </c>
    </row>
    <row r="54" spans="2:59" ht="16" thickBot="1" x14ac:dyDescent="0.4">
      <c r="B54" s="2">
        <v>10</v>
      </c>
      <c r="C54" s="8">
        <v>0.33250000000000002</v>
      </c>
      <c r="D54" s="8">
        <v>1.2306999999999999</v>
      </c>
      <c r="E54" s="8">
        <v>1.7990999999999999</v>
      </c>
      <c r="F54" s="8">
        <v>1.8855</v>
      </c>
      <c r="G54" s="8">
        <v>1.4666999999999999</v>
      </c>
      <c r="H54" s="8">
        <v>0.65480000000000005</v>
      </c>
      <c r="I54" s="9">
        <v>-1.0920000000000001</v>
      </c>
      <c r="J54" s="9">
        <v>-4.0423</v>
      </c>
      <c r="K54" s="9">
        <v>-5.9095000000000004</v>
      </c>
      <c r="L54" s="9">
        <v>-6.1932</v>
      </c>
      <c r="M54" s="9">
        <v>-4.8174999999999999</v>
      </c>
      <c r="N54" s="9">
        <v>-2.1509</v>
      </c>
      <c r="Q54" s="2">
        <v>10</v>
      </c>
      <c r="R54" s="8">
        <v>0.22120000000000001</v>
      </c>
      <c r="S54" s="8">
        <v>0.81889999999999996</v>
      </c>
      <c r="T54" s="8">
        <v>1.1972</v>
      </c>
      <c r="U54" s="8">
        <v>1.2546999999999999</v>
      </c>
      <c r="V54" s="8">
        <v>0.97599999999999998</v>
      </c>
      <c r="W54" s="8">
        <v>0.43569999999999998</v>
      </c>
      <c r="X54" s="9">
        <v>-0.22120000000000001</v>
      </c>
      <c r="Y54" s="9">
        <v>-0.81889999999999996</v>
      </c>
      <c r="Z54" s="9">
        <v>-1.1972</v>
      </c>
      <c r="AA54" s="9">
        <v>-1.2546999999999999</v>
      </c>
      <c r="AB54" s="9">
        <v>-0.97599999999999998</v>
      </c>
      <c r="AC54" s="9">
        <v>-0.43569999999999998</v>
      </c>
      <c r="AF54" s="2">
        <v>10</v>
      </c>
      <c r="AG54" s="8">
        <v>0.1143</v>
      </c>
      <c r="AH54" s="8">
        <v>0.42320000000000002</v>
      </c>
      <c r="AI54" s="8">
        <v>0.61860000000000004</v>
      </c>
      <c r="AJ54" s="8">
        <v>0.64829999999999999</v>
      </c>
      <c r="AK54" s="8">
        <v>0.50429999999999997</v>
      </c>
      <c r="AL54" s="8">
        <v>0.22520000000000001</v>
      </c>
      <c r="AM54" s="9">
        <v>-0.1143</v>
      </c>
      <c r="AN54" s="9">
        <v>-0.42320000000000002</v>
      </c>
      <c r="AO54" s="9">
        <v>-0.61860000000000004</v>
      </c>
      <c r="AP54" s="9">
        <v>-0.64829999999999999</v>
      </c>
      <c r="AQ54" s="9">
        <v>-0.50429999999999997</v>
      </c>
      <c r="AR54" s="9">
        <v>-0.22520000000000001</v>
      </c>
      <c r="AU54" s="2">
        <v>10</v>
      </c>
      <c r="AV54" s="8">
        <v>3.7100000000000001E-2</v>
      </c>
      <c r="AW54" s="8">
        <v>0.13730000000000001</v>
      </c>
      <c r="AX54" s="8">
        <v>0.20069999999999999</v>
      </c>
      <c r="AY54" s="8">
        <v>0.2104</v>
      </c>
      <c r="AZ54" s="8">
        <v>0.1636</v>
      </c>
      <c r="BA54" s="8">
        <v>7.3099999999999998E-2</v>
      </c>
      <c r="BB54" s="9">
        <v>-3.7100000000000001E-2</v>
      </c>
      <c r="BC54" s="9">
        <v>-0.13730000000000001</v>
      </c>
      <c r="BD54" s="9">
        <v>-0.20069999999999999</v>
      </c>
      <c r="BE54" s="9">
        <v>-0.2104</v>
      </c>
      <c r="BF54" s="9">
        <v>-0.1636</v>
      </c>
      <c r="BG54" s="9">
        <v>-7.3099999999999998E-2</v>
      </c>
    </row>
    <row r="55" spans="2:59" ht="16" thickBot="1" x14ac:dyDescent="0.4">
      <c r="B55" s="2">
        <v>11</v>
      </c>
      <c r="C55" s="8">
        <v>0.36530000000000001</v>
      </c>
      <c r="D55" s="8">
        <v>1.2561</v>
      </c>
      <c r="E55" s="8">
        <v>1.8103</v>
      </c>
      <c r="F55" s="8">
        <v>1.8794</v>
      </c>
      <c r="G55" s="8">
        <v>1.4450000000000001</v>
      </c>
      <c r="H55" s="8">
        <v>0.62329999999999997</v>
      </c>
      <c r="I55" s="9">
        <v>-1.2</v>
      </c>
      <c r="J55" s="9">
        <v>-4.1257999999999999</v>
      </c>
      <c r="K55" s="9">
        <v>-5.9462000000000002</v>
      </c>
      <c r="L55" s="9">
        <v>-6.1731999999999996</v>
      </c>
      <c r="M55" s="9">
        <v>-4.7462</v>
      </c>
      <c r="N55" s="9">
        <v>-2.0474000000000001</v>
      </c>
      <c r="Q55" s="2">
        <v>11</v>
      </c>
      <c r="R55" s="8">
        <v>0.24310000000000001</v>
      </c>
      <c r="S55" s="8">
        <v>0.83579999999999999</v>
      </c>
      <c r="T55" s="8">
        <v>1.2045999999999999</v>
      </c>
      <c r="U55" s="8">
        <v>1.2505999999999999</v>
      </c>
      <c r="V55" s="8">
        <v>0.96150000000000002</v>
      </c>
      <c r="W55" s="8">
        <v>0.4148</v>
      </c>
      <c r="X55" s="9">
        <v>-0.24310000000000001</v>
      </c>
      <c r="Y55" s="9">
        <v>-0.83579999999999999</v>
      </c>
      <c r="Z55" s="9">
        <v>-1.2045999999999999</v>
      </c>
      <c r="AA55" s="9">
        <v>-1.2505999999999999</v>
      </c>
      <c r="AB55" s="9">
        <v>-0.96150000000000002</v>
      </c>
      <c r="AC55" s="9">
        <v>-0.4148</v>
      </c>
      <c r="AF55" s="2">
        <v>11</v>
      </c>
      <c r="AG55" s="8">
        <v>0.12559999999999999</v>
      </c>
      <c r="AH55" s="8">
        <v>0.43190000000000001</v>
      </c>
      <c r="AI55" s="8">
        <v>0.62239999999999995</v>
      </c>
      <c r="AJ55" s="8">
        <v>0.6462</v>
      </c>
      <c r="AK55" s="8">
        <v>0.49680000000000002</v>
      </c>
      <c r="AL55" s="8">
        <v>0.21429999999999999</v>
      </c>
      <c r="AM55" s="9">
        <v>-0.12559999999999999</v>
      </c>
      <c r="AN55" s="9">
        <v>-0.43190000000000001</v>
      </c>
      <c r="AO55" s="9">
        <v>-0.62239999999999995</v>
      </c>
      <c r="AP55" s="9">
        <v>-0.6462</v>
      </c>
      <c r="AQ55" s="9">
        <v>-0.49680000000000002</v>
      </c>
      <c r="AR55" s="9">
        <v>-0.21429999999999999</v>
      </c>
      <c r="AU55" s="2">
        <v>11</v>
      </c>
      <c r="AV55" s="8">
        <v>4.0800000000000003E-2</v>
      </c>
      <c r="AW55" s="8">
        <v>0.1401</v>
      </c>
      <c r="AX55" s="8">
        <v>0.20200000000000001</v>
      </c>
      <c r="AY55" s="8">
        <v>0.2097</v>
      </c>
      <c r="AZ55" s="8">
        <v>0.16120000000000001</v>
      </c>
      <c r="BA55" s="8">
        <v>6.9500000000000006E-2</v>
      </c>
      <c r="BB55" s="9">
        <v>-4.0800000000000003E-2</v>
      </c>
      <c r="BC55" s="9">
        <v>-0.1401</v>
      </c>
      <c r="BD55" s="9">
        <v>-0.20200000000000001</v>
      </c>
      <c r="BE55" s="9">
        <v>-0.2097</v>
      </c>
      <c r="BF55" s="9">
        <v>-0.16120000000000001</v>
      </c>
      <c r="BG55" s="9">
        <v>-6.9500000000000006E-2</v>
      </c>
    </row>
    <row r="56" spans="2:59" ht="16" thickBot="1" x14ac:dyDescent="0.4">
      <c r="B56" s="2">
        <v>12</v>
      </c>
      <c r="C56" s="8">
        <v>0.39810000000000001</v>
      </c>
      <c r="D56" s="8">
        <v>1.2810999999999999</v>
      </c>
      <c r="E56" s="8">
        <v>1.8209</v>
      </c>
      <c r="F56" s="8">
        <v>1.8728</v>
      </c>
      <c r="G56" s="8">
        <v>1.4228000000000001</v>
      </c>
      <c r="H56" s="8">
        <v>0.59160000000000001</v>
      </c>
      <c r="I56" s="9">
        <v>-1.3075000000000001</v>
      </c>
      <c r="J56" s="9">
        <v>-4.2080000000000002</v>
      </c>
      <c r="K56" s="9">
        <v>-5.9809999999999999</v>
      </c>
      <c r="L56" s="9">
        <v>-6.1513</v>
      </c>
      <c r="M56" s="9">
        <v>-4.6734999999999998</v>
      </c>
      <c r="N56" s="9">
        <v>-1.9433</v>
      </c>
      <c r="Q56" s="2">
        <v>12</v>
      </c>
      <c r="R56" s="8">
        <v>0.26490000000000002</v>
      </c>
      <c r="S56" s="8">
        <v>0.85250000000000004</v>
      </c>
      <c r="T56" s="8">
        <v>1.2117</v>
      </c>
      <c r="U56" s="8">
        <v>1.2462</v>
      </c>
      <c r="V56" s="8">
        <v>0.94679999999999997</v>
      </c>
      <c r="W56" s="8">
        <v>0.39369999999999999</v>
      </c>
      <c r="X56" s="9">
        <v>-0.26490000000000002</v>
      </c>
      <c r="Y56" s="9">
        <v>-0.85250000000000004</v>
      </c>
      <c r="Z56" s="9">
        <v>-1.2117</v>
      </c>
      <c r="AA56" s="9">
        <v>-1.2462</v>
      </c>
      <c r="AB56" s="9">
        <v>-0.94679999999999997</v>
      </c>
      <c r="AC56" s="9">
        <v>-0.39369999999999999</v>
      </c>
      <c r="AF56" s="2">
        <v>12</v>
      </c>
      <c r="AG56" s="8">
        <v>0.13689999999999999</v>
      </c>
      <c r="AH56" s="8">
        <v>0.4405</v>
      </c>
      <c r="AI56" s="8">
        <v>0.62609999999999999</v>
      </c>
      <c r="AJ56" s="8">
        <v>0.64390000000000003</v>
      </c>
      <c r="AK56" s="8">
        <v>0.48920000000000002</v>
      </c>
      <c r="AL56" s="8">
        <v>0.2034</v>
      </c>
      <c r="AM56" s="9">
        <v>-0.13689999999999999</v>
      </c>
      <c r="AN56" s="9">
        <v>-0.4405</v>
      </c>
      <c r="AO56" s="9">
        <v>-0.62609999999999999</v>
      </c>
      <c r="AP56" s="9">
        <v>-0.64390000000000003</v>
      </c>
      <c r="AQ56" s="9">
        <v>-0.48920000000000002</v>
      </c>
      <c r="AR56" s="9">
        <v>-0.2034</v>
      </c>
      <c r="AU56" s="2">
        <v>12</v>
      </c>
      <c r="AV56" s="8">
        <v>4.4400000000000002E-2</v>
      </c>
      <c r="AW56" s="8">
        <v>0.1429</v>
      </c>
      <c r="AX56" s="8">
        <v>0.20319999999999999</v>
      </c>
      <c r="AY56" s="8">
        <v>0.2089</v>
      </c>
      <c r="AZ56" s="8">
        <v>0.15870000000000001</v>
      </c>
      <c r="BA56" s="8">
        <v>6.6000000000000003E-2</v>
      </c>
      <c r="BB56" s="9">
        <v>-4.4400000000000002E-2</v>
      </c>
      <c r="BC56" s="9">
        <v>-0.1429</v>
      </c>
      <c r="BD56" s="9">
        <v>-0.20319999999999999</v>
      </c>
      <c r="BE56" s="9">
        <v>-0.2089</v>
      </c>
      <c r="BF56" s="9">
        <v>-0.15870000000000001</v>
      </c>
      <c r="BG56" s="9">
        <v>-6.6000000000000003E-2</v>
      </c>
    </row>
    <row r="57" spans="2:59" ht="16" thickBot="1" x14ac:dyDescent="0.4">
      <c r="B57" s="2">
        <v>13</v>
      </c>
      <c r="C57" s="8">
        <v>0.43070000000000003</v>
      </c>
      <c r="D57" s="8">
        <v>1.3058000000000001</v>
      </c>
      <c r="E57" s="8">
        <v>1.8309</v>
      </c>
      <c r="F57" s="8">
        <v>1.8654999999999999</v>
      </c>
      <c r="G57" s="8">
        <v>1.4001999999999999</v>
      </c>
      <c r="H57" s="8">
        <v>0.55979999999999996</v>
      </c>
      <c r="I57" s="9">
        <v>-1.4147000000000001</v>
      </c>
      <c r="J57" s="9">
        <v>-4.2888999999999999</v>
      </c>
      <c r="K57" s="9">
        <v>-6.0140000000000002</v>
      </c>
      <c r="L57" s="9">
        <v>-6.1276000000000002</v>
      </c>
      <c r="M57" s="9">
        <v>-4.5993000000000004</v>
      </c>
      <c r="N57" s="9">
        <v>-1.8387</v>
      </c>
      <c r="Q57" s="2">
        <v>13</v>
      </c>
      <c r="R57" s="8">
        <v>0.28660000000000002</v>
      </c>
      <c r="S57" s="8">
        <v>0.86890000000000001</v>
      </c>
      <c r="T57" s="8">
        <v>1.2183999999999999</v>
      </c>
      <c r="U57" s="8">
        <v>1.2414000000000001</v>
      </c>
      <c r="V57" s="8">
        <v>0.93179999999999996</v>
      </c>
      <c r="W57" s="8">
        <v>0.3725</v>
      </c>
      <c r="X57" s="9">
        <v>-0.28660000000000002</v>
      </c>
      <c r="Y57" s="9">
        <v>-0.86890000000000001</v>
      </c>
      <c r="Z57" s="9">
        <v>-1.2183999999999999</v>
      </c>
      <c r="AA57" s="9">
        <v>-1.2414000000000001</v>
      </c>
      <c r="AB57" s="9">
        <v>-0.93179999999999996</v>
      </c>
      <c r="AC57" s="9">
        <v>-0.3725</v>
      </c>
      <c r="AF57" s="2">
        <v>13</v>
      </c>
      <c r="AG57" s="8">
        <v>0.14810000000000001</v>
      </c>
      <c r="AH57" s="8">
        <v>0.44900000000000001</v>
      </c>
      <c r="AI57" s="8">
        <v>0.62949999999999995</v>
      </c>
      <c r="AJ57" s="8">
        <v>0.64139999999999997</v>
      </c>
      <c r="AK57" s="8">
        <v>0.48149999999999998</v>
      </c>
      <c r="AL57" s="8">
        <v>0.1925</v>
      </c>
      <c r="AM57" s="9">
        <v>-0.14810000000000001</v>
      </c>
      <c r="AN57" s="9">
        <v>-0.44900000000000001</v>
      </c>
      <c r="AO57" s="9">
        <v>-0.62949999999999995</v>
      </c>
      <c r="AP57" s="9">
        <v>-0.64139999999999997</v>
      </c>
      <c r="AQ57" s="9">
        <v>-0.48149999999999998</v>
      </c>
      <c r="AR57" s="9">
        <v>-0.1925</v>
      </c>
      <c r="AU57" s="2">
        <v>13</v>
      </c>
      <c r="AV57" s="8">
        <v>4.8099999999999997E-2</v>
      </c>
      <c r="AW57" s="8">
        <v>0.1457</v>
      </c>
      <c r="AX57" s="8">
        <v>0.20430000000000001</v>
      </c>
      <c r="AY57" s="8">
        <v>0.20810000000000001</v>
      </c>
      <c r="AZ57" s="8">
        <v>0.15620000000000001</v>
      </c>
      <c r="BA57" s="8">
        <v>6.25E-2</v>
      </c>
      <c r="BB57" s="9">
        <v>-4.8099999999999997E-2</v>
      </c>
      <c r="BC57" s="9">
        <v>-0.1457</v>
      </c>
      <c r="BD57" s="9">
        <v>-0.20430000000000001</v>
      </c>
      <c r="BE57" s="9">
        <v>-0.20810000000000001</v>
      </c>
      <c r="BF57" s="9">
        <v>-0.15620000000000001</v>
      </c>
      <c r="BG57" s="9">
        <v>-6.25E-2</v>
      </c>
    </row>
    <row r="58" spans="2:59" ht="16" thickBot="1" x14ac:dyDescent="0.4">
      <c r="B58" s="2">
        <v>14</v>
      </c>
      <c r="C58" s="8">
        <v>0.4632</v>
      </c>
      <c r="D58" s="8">
        <v>1.33</v>
      </c>
      <c r="E58" s="8">
        <v>1.8404</v>
      </c>
      <c r="F58" s="8">
        <v>1.8576999999999999</v>
      </c>
      <c r="G58" s="8">
        <v>1.3772</v>
      </c>
      <c r="H58" s="8">
        <v>0.52769999999999995</v>
      </c>
      <c r="I58" s="9">
        <v>-1.5214000000000001</v>
      </c>
      <c r="J58" s="9">
        <v>-4.3685</v>
      </c>
      <c r="K58" s="9">
        <v>-6.0452000000000004</v>
      </c>
      <c r="L58" s="9">
        <v>-6.1020000000000003</v>
      </c>
      <c r="M58" s="9">
        <v>-4.5237999999999996</v>
      </c>
      <c r="N58" s="9">
        <v>-1.7334000000000001</v>
      </c>
      <c r="Q58" s="2">
        <v>14</v>
      </c>
      <c r="R58" s="8">
        <v>0.30819999999999997</v>
      </c>
      <c r="S58" s="8">
        <v>0.88500000000000001</v>
      </c>
      <c r="T58" s="8">
        <v>1.2246999999999999</v>
      </c>
      <c r="U58" s="8">
        <v>1.2362</v>
      </c>
      <c r="V58" s="8">
        <v>0.91649999999999998</v>
      </c>
      <c r="W58" s="8">
        <v>0.35120000000000001</v>
      </c>
      <c r="X58" s="9">
        <v>-0.30819999999999997</v>
      </c>
      <c r="Y58" s="9">
        <v>-0.88500000000000001</v>
      </c>
      <c r="Z58" s="9">
        <v>-1.2246999999999999</v>
      </c>
      <c r="AA58" s="9">
        <v>-1.2362</v>
      </c>
      <c r="AB58" s="9">
        <v>-0.91649999999999998</v>
      </c>
      <c r="AC58" s="9">
        <v>-0.35120000000000001</v>
      </c>
      <c r="AF58" s="2">
        <v>14</v>
      </c>
      <c r="AG58" s="8">
        <v>0.1593</v>
      </c>
      <c r="AH58" s="8">
        <v>0.45729999999999998</v>
      </c>
      <c r="AI58" s="8">
        <v>0.63280000000000003</v>
      </c>
      <c r="AJ58" s="8">
        <v>0.63880000000000003</v>
      </c>
      <c r="AK58" s="8">
        <v>0.47360000000000002</v>
      </c>
      <c r="AL58" s="8">
        <v>0.18149999999999999</v>
      </c>
      <c r="AM58" s="9">
        <v>-0.1593</v>
      </c>
      <c r="AN58" s="9">
        <v>-0.45729999999999998</v>
      </c>
      <c r="AO58" s="9">
        <v>-0.63280000000000003</v>
      </c>
      <c r="AP58" s="9">
        <v>-0.63880000000000003</v>
      </c>
      <c r="AQ58" s="9">
        <v>-0.47360000000000002</v>
      </c>
      <c r="AR58" s="9">
        <v>-0.18149999999999999</v>
      </c>
      <c r="AU58" s="2">
        <v>14</v>
      </c>
      <c r="AV58" s="8">
        <v>5.1700000000000003E-2</v>
      </c>
      <c r="AW58" s="8">
        <v>0.1484</v>
      </c>
      <c r="AX58" s="8">
        <v>0.20530000000000001</v>
      </c>
      <c r="AY58" s="8">
        <v>0.20730000000000001</v>
      </c>
      <c r="AZ58" s="8">
        <v>0.1537</v>
      </c>
      <c r="BA58" s="8">
        <v>5.8900000000000001E-2</v>
      </c>
      <c r="BB58" s="9">
        <v>-5.1700000000000003E-2</v>
      </c>
      <c r="BC58" s="9">
        <v>-0.1484</v>
      </c>
      <c r="BD58" s="9">
        <v>-0.20530000000000001</v>
      </c>
      <c r="BE58" s="9">
        <v>-0.20730000000000001</v>
      </c>
      <c r="BF58" s="9">
        <v>-0.1537</v>
      </c>
      <c r="BG58" s="9">
        <v>-5.8900000000000001E-2</v>
      </c>
    </row>
    <row r="59" spans="2:59" ht="16" thickBot="1" x14ac:dyDescent="0.4">
      <c r="B59" s="2">
        <v>15</v>
      </c>
      <c r="C59" s="8">
        <v>0.4955</v>
      </c>
      <c r="D59" s="8">
        <v>1.3537999999999999</v>
      </c>
      <c r="E59" s="8">
        <v>1.8493999999999999</v>
      </c>
      <c r="F59" s="8">
        <v>1.8493999999999999</v>
      </c>
      <c r="G59" s="8">
        <v>1.3537999999999999</v>
      </c>
      <c r="H59" s="8">
        <v>0.4955</v>
      </c>
      <c r="I59" s="9">
        <v>-1.6276999999999999</v>
      </c>
      <c r="J59" s="9">
        <v>-4.4467999999999996</v>
      </c>
      <c r="K59" s="9">
        <v>-6.0744999999999996</v>
      </c>
      <c r="L59" s="9">
        <v>-6.0744999999999996</v>
      </c>
      <c r="M59" s="9">
        <v>-4.4467999999999996</v>
      </c>
      <c r="N59" s="9">
        <v>-1.6276999999999999</v>
      </c>
      <c r="Q59" s="2">
        <v>15</v>
      </c>
      <c r="R59" s="8">
        <v>0.32969999999999999</v>
      </c>
      <c r="S59" s="8">
        <v>0.90090000000000003</v>
      </c>
      <c r="T59" s="8">
        <v>1.2305999999999999</v>
      </c>
      <c r="U59" s="8">
        <v>1.2305999999999999</v>
      </c>
      <c r="V59" s="8">
        <v>0.90090000000000003</v>
      </c>
      <c r="W59" s="8">
        <v>0.32969999999999999</v>
      </c>
      <c r="X59" s="9">
        <v>-0.32969999999999999</v>
      </c>
      <c r="Y59" s="9">
        <v>-0.90090000000000003</v>
      </c>
      <c r="Z59" s="9">
        <v>-1.2305999999999999</v>
      </c>
      <c r="AA59" s="9">
        <v>-1.2305999999999999</v>
      </c>
      <c r="AB59" s="9">
        <v>-0.90090000000000003</v>
      </c>
      <c r="AC59" s="9">
        <v>-0.32969999999999999</v>
      </c>
      <c r="AF59" s="2">
        <v>15</v>
      </c>
      <c r="AG59" s="8">
        <v>0.1704</v>
      </c>
      <c r="AH59" s="8">
        <v>0.46550000000000002</v>
      </c>
      <c r="AI59" s="8">
        <v>0.63590000000000002</v>
      </c>
      <c r="AJ59" s="8">
        <v>0.63590000000000002</v>
      </c>
      <c r="AK59" s="8">
        <v>0.46550000000000002</v>
      </c>
      <c r="AL59" s="8">
        <v>0.1704</v>
      </c>
      <c r="AM59" s="9">
        <v>-0.1704</v>
      </c>
      <c r="AN59" s="9">
        <v>-0.46550000000000002</v>
      </c>
      <c r="AO59" s="9">
        <v>-0.63590000000000002</v>
      </c>
      <c r="AP59" s="9">
        <v>-0.63590000000000002</v>
      </c>
      <c r="AQ59" s="9">
        <v>-0.46550000000000002</v>
      </c>
      <c r="AR59" s="9">
        <v>-0.1704</v>
      </c>
      <c r="AU59" s="2">
        <v>15</v>
      </c>
      <c r="AV59" s="8">
        <v>5.5300000000000002E-2</v>
      </c>
      <c r="AW59" s="8">
        <v>0.15110000000000001</v>
      </c>
      <c r="AX59" s="8">
        <v>0.20630000000000001</v>
      </c>
      <c r="AY59" s="8">
        <v>0.20630000000000001</v>
      </c>
      <c r="AZ59" s="8">
        <v>0.15110000000000001</v>
      </c>
      <c r="BA59" s="8">
        <v>5.5300000000000002E-2</v>
      </c>
      <c r="BB59" s="9">
        <v>-5.5300000000000002E-2</v>
      </c>
      <c r="BC59" s="9">
        <v>-0.15110000000000001</v>
      </c>
      <c r="BD59" s="9">
        <v>-0.20630000000000001</v>
      </c>
      <c r="BE59" s="9">
        <v>-0.20630000000000001</v>
      </c>
      <c r="BF59" s="9">
        <v>-0.15110000000000001</v>
      </c>
      <c r="BG59" s="9">
        <v>-5.5300000000000002E-2</v>
      </c>
    </row>
    <row r="60" spans="2:59" ht="16" thickBot="1" x14ac:dyDescent="0.4">
      <c r="B60" s="2">
        <v>16</v>
      </c>
      <c r="C60" s="8">
        <v>0.52769999999999995</v>
      </c>
      <c r="D60" s="8">
        <v>1.3772</v>
      </c>
      <c r="E60" s="8">
        <v>1.8576999999999999</v>
      </c>
      <c r="F60" s="8">
        <v>1.8404</v>
      </c>
      <c r="G60" s="8">
        <v>1.33</v>
      </c>
      <c r="H60" s="8">
        <v>0.4632</v>
      </c>
      <c r="I60" s="9">
        <v>-1.7334000000000001</v>
      </c>
      <c r="J60" s="9">
        <v>-4.5237999999999996</v>
      </c>
      <c r="K60" s="9">
        <v>-6.1020000000000003</v>
      </c>
      <c r="L60" s="9">
        <v>-6.0452000000000004</v>
      </c>
      <c r="M60" s="9">
        <v>-4.3685</v>
      </c>
      <c r="N60" s="9">
        <v>-1.5214000000000001</v>
      </c>
      <c r="Q60" s="2">
        <v>16</v>
      </c>
      <c r="R60" s="8">
        <v>0.35120000000000001</v>
      </c>
      <c r="S60" s="8">
        <v>0.91649999999999998</v>
      </c>
      <c r="T60" s="8">
        <v>1.2362</v>
      </c>
      <c r="U60" s="8">
        <v>1.2246999999999999</v>
      </c>
      <c r="V60" s="8">
        <v>0.88500000000000001</v>
      </c>
      <c r="W60" s="8">
        <v>0.30819999999999997</v>
      </c>
      <c r="X60" s="9">
        <v>-0.35120000000000001</v>
      </c>
      <c r="Y60" s="9">
        <v>-0.91649999999999998</v>
      </c>
      <c r="Z60" s="9">
        <v>-1.2362</v>
      </c>
      <c r="AA60" s="9">
        <v>-1.2246999999999999</v>
      </c>
      <c r="AB60" s="9">
        <v>-0.88500000000000001</v>
      </c>
      <c r="AC60" s="9">
        <v>-0.30819999999999997</v>
      </c>
      <c r="AF60" s="2">
        <v>16</v>
      </c>
      <c r="AG60" s="8">
        <v>0.18149999999999999</v>
      </c>
      <c r="AH60" s="8">
        <v>0.47360000000000002</v>
      </c>
      <c r="AI60" s="8">
        <v>0.63880000000000003</v>
      </c>
      <c r="AJ60" s="8">
        <v>0.63280000000000003</v>
      </c>
      <c r="AK60" s="8">
        <v>0.45729999999999998</v>
      </c>
      <c r="AL60" s="8">
        <v>0.1593</v>
      </c>
      <c r="AM60" s="9">
        <v>-0.18149999999999999</v>
      </c>
      <c r="AN60" s="9">
        <v>-0.47360000000000002</v>
      </c>
      <c r="AO60" s="9">
        <v>-0.63880000000000003</v>
      </c>
      <c r="AP60" s="9">
        <v>-0.63280000000000003</v>
      </c>
      <c r="AQ60" s="9">
        <v>-0.45729999999999998</v>
      </c>
      <c r="AR60" s="9">
        <v>-0.1593</v>
      </c>
      <c r="AU60" s="2">
        <v>16</v>
      </c>
      <c r="AV60" s="8">
        <v>5.8900000000000001E-2</v>
      </c>
      <c r="AW60" s="8">
        <v>0.1537</v>
      </c>
      <c r="AX60" s="8">
        <v>0.20730000000000001</v>
      </c>
      <c r="AY60" s="8">
        <v>0.20530000000000001</v>
      </c>
      <c r="AZ60" s="8">
        <v>0.1484</v>
      </c>
      <c r="BA60" s="8">
        <v>5.1700000000000003E-2</v>
      </c>
      <c r="BB60" s="9">
        <v>-5.8900000000000001E-2</v>
      </c>
      <c r="BC60" s="9">
        <v>-0.1537</v>
      </c>
      <c r="BD60" s="9">
        <v>-0.20730000000000001</v>
      </c>
      <c r="BE60" s="9">
        <v>-0.20530000000000001</v>
      </c>
      <c r="BF60" s="9">
        <v>-0.1484</v>
      </c>
      <c r="BG60" s="9">
        <v>-5.1700000000000003E-2</v>
      </c>
    </row>
    <row r="61" spans="2:59" ht="16" thickBot="1" x14ac:dyDescent="0.4">
      <c r="B61" s="2">
        <v>17</v>
      </c>
      <c r="C61" s="8">
        <v>0.55979999999999996</v>
      </c>
      <c r="D61" s="8">
        <v>1.4001999999999999</v>
      </c>
      <c r="E61" s="8">
        <v>1.8654999999999999</v>
      </c>
      <c r="F61" s="8">
        <v>1.8309</v>
      </c>
      <c r="G61" s="8">
        <v>1.3058000000000001</v>
      </c>
      <c r="H61" s="8">
        <v>0.43070000000000003</v>
      </c>
      <c r="I61" s="9">
        <v>-1.8387</v>
      </c>
      <c r="J61" s="9">
        <v>-4.5993000000000004</v>
      </c>
      <c r="K61" s="9">
        <v>-6.1276000000000002</v>
      </c>
      <c r="L61" s="9">
        <v>-6.0140000000000002</v>
      </c>
      <c r="M61" s="9">
        <v>-4.2888999999999999</v>
      </c>
      <c r="N61" s="9">
        <v>-1.4147000000000001</v>
      </c>
      <c r="Q61" s="2">
        <v>17</v>
      </c>
      <c r="R61" s="8">
        <v>0.3725</v>
      </c>
      <c r="S61" s="8">
        <v>0.93179999999999996</v>
      </c>
      <c r="T61" s="8">
        <v>1.2414000000000001</v>
      </c>
      <c r="U61" s="8">
        <v>1.2183999999999999</v>
      </c>
      <c r="V61" s="8">
        <v>0.86890000000000001</v>
      </c>
      <c r="W61" s="8">
        <v>0.28660000000000002</v>
      </c>
      <c r="X61" s="9">
        <v>-0.3725</v>
      </c>
      <c r="Y61" s="9">
        <v>-0.93179999999999996</v>
      </c>
      <c r="Z61" s="9">
        <v>-1.2414000000000001</v>
      </c>
      <c r="AA61" s="9">
        <v>-1.2183999999999999</v>
      </c>
      <c r="AB61" s="9">
        <v>-0.86890000000000001</v>
      </c>
      <c r="AC61" s="9">
        <v>-0.28660000000000002</v>
      </c>
      <c r="AF61" s="2">
        <v>17</v>
      </c>
      <c r="AG61" s="8">
        <v>0.1925</v>
      </c>
      <c r="AH61" s="8">
        <v>0.48149999999999998</v>
      </c>
      <c r="AI61" s="8">
        <v>0.64139999999999997</v>
      </c>
      <c r="AJ61" s="8">
        <v>0.62949999999999995</v>
      </c>
      <c r="AK61" s="8">
        <v>0.44900000000000001</v>
      </c>
      <c r="AL61" s="8">
        <v>0.14810000000000001</v>
      </c>
      <c r="AM61" s="9">
        <v>-0.1925</v>
      </c>
      <c r="AN61" s="9">
        <v>-0.48149999999999998</v>
      </c>
      <c r="AO61" s="9">
        <v>-0.64139999999999997</v>
      </c>
      <c r="AP61" s="9">
        <v>-0.62949999999999995</v>
      </c>
      <c r="AQ61" s="9">
        <v>-0.44900000000000001</v>
      </c>
      <c r="AR61" s="9">
        <v>-0.14810000000000001</v>
      </c>
      <c r="AU61" s="2">
        <v>17</v>
      </c>
      <c r="AV61" s="8">
        <v>6.25E-2</v>
      </c>
      <c r="AW61" s="8">
        <v>0.15620000000000001</v>
      </c>
      <c r="AX61" s="8">
        <v>0.20810000000000001</v>
      </c>
      <c r="AY61" s="8">
        <v>0.20430000000000001</v>
      </c>
      <c r="AZ61" s="8">
        <v>0.1457</v>
      </c>
      <c r="BA61" s="8">
        <v>4.8099999999999997E-2</v>
      </c>
      <c r="BB61" s="9">
        <v>-6.25E-2</v>
      </c>
      <c r="BC61" s="9">
        <v>-0.15620000000000001</v>
      </c>
      <c r="BD61" s="9">
        <v>-0.20810000000000001</v>
      </c>
      <c r="BE61" s="9">
        <v>-0.20430000000000001</v>
      </c>
      <c r="BF61" s="9">
        <v>-0.1457</v>
      </c>
      <c r="BG61" s="9">
        <v>-4.8099999999999997E-2</v>
      </c>
    </row>
    <row r="62" spans="2:59" ht="16" thickBot="1" x14ac:dyDescent="0.4">
      <c r="B62" s="2">
        <v>18</v>
      </c>
      <c r="C62" s="8">
        <v>0.59160000000000001</v>
      </c>
      <c r="D62" s="8">
        <v>1.4228000000000001</v>
      </c>
      <c r="E62" s="8">
        <v>1.8728</v>
      </c>
      <c r="F62" s="8">
        <v>1.8209</v>
      </c>
      <c r="G62" s="8">
        <v>1.2810999999999999</v>
      </c>
      <c r="H62" s="8">
        <v>0.39810000000000001</v>
      </c>
      <c r="I62" s="9">
        <v>-1.9433</v>
      </c>
      <c r="J62" s="9">
        <v>-4.6734999999999998</v>
      </c>
      <c r="K62" s="9">
        <v>-6.1513</v>
      </c>
      <c r="L62" s="9">
        <v>-5.9809999999999999</v>
      </c>
      <c r="M62" s="9">
        <v>-4.2080000000000002</v>
      </c>
      <c r="N62" s="9">
        <v>-1.3075000000000001</v>
      </c>
      <c r="Q62" s="2">
        <v>18</v>
      </c>
      <c r="R62" s="8">
        <v>0.39369999999999999</v>
      </c>
      <c r="S62" s="8">
        <v>0.94679999999999997</v>
      </c>
      <c r="T62" s="8">
        <v>1.2462</v>
      </c>
      <c r="U62" s="8">
        <v>1.2117</v>
      </c>
      <c r="V62" s="8">
        <v>0.85250000000000004</v>
      </c>
      <c r="W62" s="8">
        <v>0.26490000000000002</v>
      </c>
      <c r="X62" s="9">
        <v>-0.39369999999999999</v>
      </c>
      <c r="Y62" s="9">
        <v>-0.94679999999999997</v>
      </c>
      <c r="Z62" s="9">
        <v>-1.2462</v>
      </c>
      <c r="AA62" s="9">
        <v>-1.2117</v>
      </c>
      <c r="AB62" s="9">
        <v>-0.85250000000000004</v>
      </c>
      <c r="AC62" s="9">
        <v>-0.26490000000000002</v>
      </c>
      <c r="AF62" s="2">
        <v>18</v>
      </c>
      <c r="AG62" s="8">
        <v>0.2034</v>
      </c>
      <c r="AH62" s="8">
        <v>0.48920000000000002</v>
      </c>
      <c r="AI62" s="8">
        <v>0.64390000000000003</v>
      </c>
      <c r="AJ62" s="8">
        <v>0.62609999999999999</v>
      </c>
      <c r="AK62" s="8">
        <v>0.4405</v>
      </c>
      <c r="AL62" s="8">
        <v>0.13689999999999999</v>
      </c>
      <c r="AM62" s="9">
        <v>-0.2034</v>
      </c>
      <c r="AN62" s="9">
        <v>-0.48920000000000002</v>
      </c>
      <c r="AO62" s="9">
        <v>-0.64390000000000003</v>
      </c>
      <c r="AP62" s="9">
        <v>-0.62609999999999999</v>
      </c>
      <c r="AQ62" s="9">
        <v>-0.4405</v>
      </c>
      <c r="AR62" s="9">
        <v>-0.13689999999999999</v>
      </c>
      <c r="AU62" s="2">
        <v>18</v>
      </c>
      <c r="AV62" s="8">
        <v>6.6000000000000003E-2</v>
      </c>
      <c r="AW62" s="8">
        <v>0.15870000000000001</v>
      </c>
      <c r="AX62" s="8">
        <v>0.2089</v>
      </c>
      <c r="AY62" s="8">
        <v>0.20319999999999999</v>
      </c>
      <c r="AZ62" s="8">
        <v>0.1429</v>
      </c>
      <c r="BA62" s="8">
        <v>4.4400000000000002E-2</v>
      </c>
      <c r="BB62" s="9">
        <v>-6.6000000000000003E-2</v>
      </c>
      <c r="BC62" s="9">
        <v>-0.15870000000000001</v>
      </c>
      <c r="BD62" s="9">
        <v>-0.2089</v>
      </c>
      <c r="BE62" s="9">
        <v>-0.20319999999999999</v>
      </c>
      <c r="BF62" s="9">
        <v>-0.1429</v>
      </c>
      <c r="BG62" s="9">
        <v>-4.4400000000000002E-2</v>
      </c>
    </row>
    <row r="63" spans="2:59" ht="16" thickBot="1" x14ac:dyDescent="0.4">
      <c r="B63" s="2">
        <v>19</v>
      </c>
      <c r="C63" s="8">
        <v>0.62329999999999997</v>
      </c>
      <c r="D63" s="8">
        <v>1.4450000000000001</v>
      </c>
      <c r="E63" s="8">
        <v>1.8794</v>
      </c>
      <c r="F63" s="8">
        <v>1.8103</v>
      </c>
      <c r="G63" s="8">
        <v>1.2561</v>
      </c>
      <c r="H63" s="8">
        <v>0.36530000000000001</v>
      </c>
      <c r="I63" s="9">
        <v>-2.0474000000000001</v>
      </c>
      <c r="J63" s="9">
        <v>-4.7462</v>
      </c>
      <c r="K63" s="9">
        <v>-6.1731999999999996</v>
      </c>
      <c r="L63" s="9">
        <v>-5.9462000000000002</v>
      </c>
      <c r="M63" s="9">
        <v>-4.1257999999999999</v>
      </c>
      <c r="N63" s="9">
        <v>-1.2</v>
      </c>
      <c r="Q63" s="2">
        <v>19</v>
      </c>
      <c r="R63" s="8">
        <v>0.4148</v>
      </c>
      <c r="S63" s="8">
        <v>0.96150000000000002</v>
      </c>
      <c r="T63" s="8">
        <v>1.2505999999999999</v>
      </c>
      <c r="U63" s="8">
        <v>1.2045999999999999</v>
      </c>
      <c r="V63" s="8">
        <v>0.83579999999999999</v>
      </c>
      <c r="W63" s="8">
        <v>0.24310000000000001</v>
      </c>
      <c r="X63" s="9">
        <v>-0.4148</v>
      </c>
      <c r="Y63" s="9">
        <v>-0.96150000000000002</v>
      </c>
      <c r="Z63" s="9">
        <v>-1.2505999999999999</v>
      </c>
      <c r="AA63" s="9">
        <v>-1.2045999999999999</v>
      </c>
      <c r="AB63" s="9">
        <v>-0.83579999999999999</v>
      </c>
      <c r="AC63" s="9">
        <v>-0.24310000000000001</v>
      </c>
      <c r="AF63" s="2">
        <v>19</v>
      </c>
      <c r="AG63" s="8">
        <v>0.21429999999999999</v>
      </c>
      <c r="AH63" s="8">
        <v>0.49680000000000002</v>
      </c>
      <c r="AI63" s="8">
        <v>0.6462</v>
      </c>
      <c r="AJ63" s="8">
        <v>0.62239999999999995</v>
      </c>
      <c r="AK63" s="8">
        <v>0.43190000000000001</v>
      </c>
      <c r="AL63" s="8">
        <v>0.12559999999999999</v>
      </c>
      <c r="AM63" s="9">
        <v>-0.21429999999999999</v>
      </c>
      <c r="AN63" s="9">
        <v>-0.49680000000000002</v>
      </c>
      <c r="AO63" s="9">
        <v>-0.6462</v>
      </c>
      <c r="AP63" s="9">
        <v>-0.62239999999999995</v>
      </c>
      <c r="AQ63" s="9">
        <v>-0.43190000000000001</v>
      </c>
      <c r="AR63" s="9">
        <v>-0.12559999999999999</v>
      </c>
      <c r="AU63" s="2">
        <v>19</v>
      </c>
      <c r="AV63" s="8">
        <v>6.9500000000000006E-2</v>
      </c>
      <c r="AW63" s="8">
        <v>0.16120000000000001</v>
      </c>
      <c r="AX63" s="8">
        <v>0.2097</v>
      </c>
      <c r="AY63" s="8">
        <v>0.20200000000000001</v>
      </c>
      <c r="AZ63" s="8">
        <v>0.1401</v>
      </c>
      <c r="BA63" s="8">
        <v>4.0800000000000003E-2</v>
      </c>
      <c r="BB63" s="9">
        <v>-6.9500000000000006E-2</v>
      </c>
      <c r="BC63" s="9">
        <v>-0.16120000000000001</v>
      </c>
      <c r="BD63" s="9">
        <v>-0.2097</v>
      </c>
      <c r="BE63" s="9">
        <v>-0.20200000000000001</v>
      </c>
      <c r="BF63" s="9">
        <v>-0.1401</v>
      </c>
      <c r="BG63" s="9">
        <v>-4.0800000000000003E-2</v>
      </c>
    </row>
    <row r="64" spans="2:59" ht="16" thickBot="1" x14ac:dyDescent="0.4">
      <c r="B64" s="2">
        <v>20</v>
      </c>
      <c r="C64" s="8">
        <v>0.65480000000000005</v>
      </c>
      <c r="D64" s="8">
        <v>1.4666999999999999</v>
      </c>
      <c r="E64" s="8">
        <v>1.8855</v>
      </c>
      <c r="F64" s="8">
        <v>1.7990999999999999</v>
      </c>
      <c r="G64" s="8">
        <v>1.2306999999999999</v>
      </c>
      <c r="H64" s="8">
        <v>0.33250000000000002</v>
      </c>
      <c r="I64" s="9">
        <v>-2.1509</v>
      </c>
      <c r="J64" s="8">
        <v>-4.8174999999999999</v>
      </c>
      <c r="K64" s="9">
        <v>-6.1932</v>
      </c>
      <c r="L64" s="9">
        <v>-5.9095000000000004</v>
      </c>
      <c r="M64" s="9">
        <v>-4.0423</v>
      </c>
      <c r="N64" s="9">
        <v>-1.0920000000000001</v>
      </c>
      <c r="Q64" s="2">
        <v>20</v>
      </c>
      <c r="R64" s="8">
        <v>0.43569999999999998</v>
      </c>
      <c r="S64" s="8">
        <v>0.97599999999999998</v>
      </c>
      <c r="T64" s="8">
        <v>1.2546999999999999</v>
      </c>
      <c r="U64" s="8">
        <v>1.1972</v>
      </c>
      <c r="V64" s="8">
        <v>0.81889999999999996</v>
      </c>
      <c r="W64" s="8">
        <v>0.22120000000000001</v>
      </c>
      <c r="X64" s="9">
        <v>-0.43569999999999998</v>
      </c>
      <c r="Y64" s="8">
        <v>-0.97599999999999998</v>
      </c>
      <c r="Z64" s="9">
        <v>-1.2546999999999999</v>
      </c>
      <c r="AA64" s="9">
        <v>-1.1972</v>
      </c>
      <c r="AB64" s="9">
        <v>-0.81889999999999996</v>
      </c>
      <c r="AC64" s="9">
        <v>-0.22120000000000001</v>
      </c>
      <c r="AF64" s="2">
        <v>20</v>
      </c>
      <c r="AG64" s="8">
        <v>0.22520000000000001</v>
      </c>
      <c r="AH64" s="8">
        <v>0.50429999999999997</v>
      </c>
      <c r="AI64" s="8">
        <v>0.64829999999999999</v>
      </c>
      <c r="AJ64" s="8">
        <v>0.61860000000000004</v>
      </c>
      <c r="AK64" s="8">
        <v>0.42320000000000002</v>
      </c>
      <c r="AL64" s="8">
        <v>0.1143</v>
      </c>
      <c r="AM64" s="9">
        <v>-0.22520000000000001</v>
      </c>
      <c r="AN64" s="8">
        <v>-0.50429999999999997</v>
      </c>
      <c r="AO64" s="9">
        <v>-0.64829999999999999</v>
      </c>
      <c r="AP64" s="9">
        <v>-0.61860000000000004</v>
      </c>
      <c r="AQ64" s="9">
        <v>-0.42320000000000002</v>
      </c>
      <c r="AR64" s="9">
        <v>-0.1143</v>
      </c>
      <c r="AU64" s="2">
        <v>20</v>
      </c>
      <c r="AV64" s="8">
        <v>7.3099999999999998E-2</v>
      </c>
      <c r="AW64" s="8">
        <v>0.1636</v>
      </c>
      <c r="AX64" s="8">
        <v>0.2104</v>
      </c>
      <c r="AY64" s="8">
        <v>0.20069999999999999</v>
      </c>
      <c r="AZ64" s="8">
        <v>0.13730000000000001</v>
      </c>
      <c r="BA64" s="8">
        <v>3.7100000000000001E-2</v>
      </c>
      <c r="BB64" s="9">
        <v>-7.3099999999999998E-2</v>
      </c>
      <c r="BC64" s="8">
        <v>-0.1636</v>
      </c>
      <c r="BD64" s="9">
        <v>-0.2104</v>
      </c>
      <c r="BE64" s="9">
        <v>-0.20069999999999999</v>
      </c>
      <c r="BF64" s="9">
        <v>-0.13730000000000001</v>
      </c>
      <c r="BG64" s="9">
        <v>-3.7100000000000001E-2</v>
      </c>
    </row>
    <row r="65" spans="2:74" ht="16" thickBot="1" x14ac:dyDescent="0.4">
      <c r="B65" s="2">
        <v>21</v>
      </c>
      <c r="C65" s="8">
        <v>0.68610000000000004</v>
      </c>
      <c r="D65" s="8">
        <v>1.4879</v>
      </c>
      <c r="E65" s="8">
        <v>1.891</v>
      </c>
      <c r="F65" s="8">
        <v>1.7874000000000001</v>
      </c>
      <c r="G65" s="8">
        <v>1.2049000000000001</v>
      </c>
      <c r="H65" s="8">
        <v>0.29949999999999999</v>
      </c>
      <c r="I65" s="9">
        <v>-2.2536999999999998</v>
      </c>
      <c r="J65" s="9">
        <v>-4.8872999999999998</v>
      </c>
      <c r="K65" s="9">
        <v>-6.2112999999999996</v>
      </c>
      <c r="L65" s="9">
        <v>-5.8711000000000002</v>
      </c>
      <c r="M65" s="9">
        <v>-3.9577</v>
      </c>
      <c r="N65" s="9">
        <v>-0.98380000000000001</v>
      </c>
      <c r="Q65" s="2">
        <v>21</v>
      </c>
      <c r="R65" s="8">
        <v>0.45660000000000001</v>
      </c>
      <c r="S65" s="8">
        <v>0.99009999999999998</v>
      </c>
      <c r="T65" s="8">
        <v>1.2583</v>
      </c>
      <c r="U65" s="8">
        <v>1.1894</v>
      </c>
      <c r="V65" s="8">
        <v>0.80179999999999996</v>
      </c>
      <c r="W65" s="8">
        <v>0.1993</v>
      </c>
      <c r="X65" s="9">
        <v>-0.45660000000000001</v>
      </c>
      <c r="Y65" s="9">
        <v>-0.99009999999999998</v>
      </c>
      <c r="Z65" s="9">
        <v>-1.2583</v>
      </c>
      <c r="AA65" s="9">
        <v>-1.1894</v>
      </c>
      <c r="AB65" s="9">
        <v>-0.80179999999999996</v>
      </c>
      <c r="AC65" s="9">
        <v>-0.1993</v>
      </c>
      <c r="AF65" s="2">
        <v>21</v>
      </c>
      <c r="AG65" s="8">
        <v>0.2359</v>
      </c>
      <c r="AH65" s="8">
        <v>0.51160000000000005</v>
      </c>
      <c r="AI65" s="8">
        <v>0.6502</v>
      </c>
      <c r="AJ65" s="8">
        <v>0.61460000000000004</v>
      </c>
      <c r="AK65" s="8">
        <v>0.4143</v>
      </c>
      <c r="AL65" s="8">
        <v>0.10299999999999999</v>
      </c>
      <c r="AM65" s="9">
        <v>-0.2359</v>
      </c>
      <c r="AN65" s="9">
        <v>-0.51160000000000005</v>
      </c>
      <c r="AO65" s="9">
        <v>-0.6502</v>
      </c>
      <c r="AP65" s="9">
        <v>-0.61460000000000004</v>
      </c>
      <c r="AQ65" s="9">
        <v>-0.4143</v>
      </c>
      <c r="AR65" s="9">
        <v>-0.10299999999999999</v>
      </c>
      <c r="AU65" s="2">
        <v>21</v>
      </c>
      <c r="AV65" s="8">
        <v>7.6600000000000001E-2</v>
      </c>
      <c r="AW65" s="8">
        <v>0.16600000000000001</v>
      </c>
      <c r="AX65" s="8">
        <v>0.21099999999999999</v>
      </c>
      <c r="AY65" s="8">
        <v>0.19939999999999999</v>
      </c>
      <c r="AZ65" s="8">
        <v>0.13439999999999999</v>
      </c>
      <c r="BA65" s="8">
        <v>3.3399999999999999E-2</v>
      </c>
      <c r="BB65" s="9">
        <v>-7.6600000000000001E-2</v>
      </c>
      <c r="BC65" s="9">
        <v>-0.16600000000000001</v>
      </c>
      <c r="BD65" s="9">
        <v>-0.21099999999999999</v>
      </c>
      <c r="BE65" s="9">
        <v>-0.19939999999999999</v>
      </c>
      <c r="BF65" s="9">
        <v>-0.13439999999999999</v>
      </c>
      <c r="BG65" s="9">
        <v>-3.3399999999999999E-2</v>
      </c>
    </row>
    <row r="66" spans="2:74" ht="16" thickBot="1" x14ac:dyDescent="0.4">
      <c r="B66" s="2">
        <v>22</v>
      </c>
      <c r="C66" s="8">
        <v>0.71719999999999995</v>
      </c>
      <c r="D66" s="8">
        <v>1.5086999999999999</v>
      </c>
      <c r="E66" s="8">
        <v>1.8959999999999999</v>
      </c>
      <c r="F66" s="8">
        <v>1.7751999999999999</v>
      </c>
      <c r="G66" s="8">
        <v>1.1787000000000001</v>
      </c>
      <c r="H66" s="8">
        <v>0.26650000000000001</v>
      </c>
      <c r="I66" s="9">
        <v>-2.3557999999999999</v>
      </c>
      <c r="J66" s="9">
        <v>-4.9555999999999996</v>
      </c>
      <c r="K66" s="9">
        <v>-6.2275999999999998</v>
      </c>
      <c r="L66" s="9">
        <v>-5.8308</v>
      </c>
      <c r="M66" s="9">
        <v>-3.8717999999999999</v>
      </c>
      <c r="N66" s="9">
        <v>-0.87519999999999998</v>
      </c>
      <c r="Q66" s="2">
        <v>22</v>
      </c>
      <c r="R66" s="8">
        <v>0.4773</v>
      </c>
      <c r="S66" s="8">
        <v>1.0039</v>
      </c>
      <c r="T66" s="8">
        <v>1.2616000000000001</v>
      </c>
      <c r="U66" s="8">
        <v>1.1813</v>
      </c>
      <c r="V66" s="8">
        <v>0.78439999999999999</v>
      </c>
      <c r="W66" s="8">
        <v>0.17730000000000001</v>
      </c>
      <c r="X66" s="9">
        <v>-0.4773</v>
      </c>
      <c r="Y66" s="9">
        <v>-1.0039</v>
      </c>
      <c r="Z66" s="9">
        <v>-1.2616000000000001</v>
      </c>
      <c r="AA66" s="9">
        <v>-1.1813</v>
      </c>
      <c r="AB66" s="9">
        <v>-0.78439999999999999</v>
      </c>
      <c r="AC66" s="9">
        <v>-0.17730000000000001</v>
      </c>
      <c r="AF66" s="2">
        <v>22</v>
      </c>
      <c r="AG66" s="8">
        <v>0.24660000000000001</v>
      </c>
      <c r="AH66" s="8">
        <v>0.51880000000000004</v>
      </c>
      <c r="AI66" s="8">
        <v>0.65190000000000003</v>
      </c>
      <c r="AJ66" s="8">
        <v>0.61040000000000005</v>
      </c>
      <c r="AK66" s="8">
        <v>0.40529999999999999</v>
      </c>
      <c r="AL66" s="8">
        <v>9.1600000000000001E-2</v>
      </c>
      <c r="AM66" s="9">
        <v>-0.24660000000000001</v>
      </c>
      <c r="AN66" s="9">
        <v>-0.51880000000000004</v>
      </c>
      <c r="AO66" s="9">
        <v>-0.65190000000000003</v>
      </c>
      <c r="AP66" s="9">
        <v>-0.61040000000000005</v>
      </c>
      <c r="AQ66" s="9">
        <v>-0.40529999999999999</v>
      </c>
      <c r="AR66" s="9">
        <v>-9.1600000000000001E-2</v>
      </c>
      <c r="AU66" s="2">
        <v>22</v>
      </c>
      <c r="AV66" s="8">
        <v>0.08</v>
      </c>
      <c r="AW66" s="8">
        <v>0.16830000000000001</v>
      </c>
      <c r="AX66" s="8">
        <v>0.21149999999999999</v>
      </c>
      <c r="AY66" s="8">
        <v>0.1981</v>
      </c>
      <c r="AZ66" s="8">
        <v>0.13150000000000001</v>
      </c>
      <c r="BA66" s="8">
        <v>2.9700000000000001E-2</v>
      </c>
      <c r="BB66" s="9">
        <v>-0.08</v>
      </c>
      <c r="BC66" s="9">
        <v>-0.16830000000000001</v>
      </c>
      <c r="BD66" s="9">
        <v>-0.21149999999999999</v>
      </c>
      <c r="BE66" s="9">
        <v>-0.1981</v>
      </c>
      <c r="BF66" s="9">
        <v>-0.13150000000000001</v>
      </c>
      <c r="BG66" s="9">
        <v>-2.9700000000000001E-2</v>
      </c>
    </row>
    <row r="67" spans="2:74" ht="16" thickBot="1" x14ac:dyDescent="0.4">
      <c r="B67" s="2">
        <v>23</v>
      </c>
      <c r="C67" s="8">
        <v>0.74809999999999999</v>
      </c>
      <c r="D67" s="8">
        <v>1.5290999999999999</v>
      </c>
      <c r="E67" s="8">
        <v>1.9003000000000001</v>
      </c>
      <c r="F67" s="8">
        <v>1.7624</v>
      </c>
      <c r="G67" s="8">
        <v>1.1521999999999999</v>
      </c>
      <c r="H67" s="8">
        <v>0.23330000000000001</v>
      </c>
      <c r="I67" s="9">
        <v>-2.4571999999999998</v>
      </c>
      <c r="J67" s="9">
        <v>-5.0224000000000002</v>
      </c>
      <c r="K67" s="9">
        <v>-6.2419000000000002</v>
      </c>
      <c r="L67" s="9">
        <v>-5.7888000000000002</v>
      </c>
      <c r="M67" s="9">
        <v>-3.7847</v>
      </c>
      <c r="N67" s="9">
        <v>-0.76639999999999997</v>
      </c>
      <c r="Q67" s="2">
        <v>23</v>
      </c>
      <c r="R67" s="8">
        <v>0.49780000000000002</v>
      </c>
      <c r="S67" s="8">
        <v>1.0175000000000001</v>
      </c>
      <c r="T67" s="8">
        <v>1.2645</v>
      </c>
      <c r="U67" s="8">
        <v>1.1727000000000001</v>
      </c>
      <c r="V67" s="8">
        <v>0.76670000000000005</v>
      </c>
      <c r="W67" s="8">
        <v>0.15529999999999999</v>
      </c>
      <c r="X67" s="9">
        <v>-0.49780000000000002</v>
      </c>
      <c r="Y67" s="9">
        <v>-1.0175000000000001</v>
      </c>
      <c r="Z67" s="9">
        <v>-1.2645</v>
      </c>
      <c r="AA67" s="9">
        <v>-1.1727000000000001</v>
      </c>
      <c r="AB67" s="9">
        <v>-0.76670000000000005</v>
      </c>
      <c r="AC67" s="9">
        <v>-0.15529999999999999</v>
      </c>
      <c r="AF67" s="2">
        <v>23</v>
      </c>
      <c r="AG67" s="8">
        <v>0.25719999999999998</v>
      </c>
      <c r="AH67" s="8">
        <v>0.52580000000000005</v>
      </c>
      <c r="AI67" s="8">
        <v>0.65339999999999998</v>
      </c>
      <c r="AJ67" s="8">
        <v>0.60599999999999998</v>
      </c>
      <c r="AK67" s="8">
        <v>0.3962</v>
      </c>
      <c r="AL67" s="8">
        <v>8.0199999999999994E-2</v>
      </c>
      <c r="AM67" s="9">
        <v>-0.25719999999999998</v>
      </c>
      <c r="AN67" s="9">
        <v>-0.52580000000000005</v>
      </c>
      <c r="AO67" s="9">
        <v>-0.65339999999999998</v>
      </c>
      <c r="AP67" s="9">
        <v>-0.60599999999999998</v>
      </c>
      <c r="AQ67" s="9">
        <v>-0.3962</v>
      </c>
      <c r="AR67" s="9">
        <v>-8.0199999999999994E-2</v>
      </c>
      <c r="AU67" s="2">
        <v>23</v>
      </c>
      <c r="AV67" s="8">
        <v>8.3500000000000005E-2</v>
      </c>
      <c r="AW67" s="8">
        <v>0.1706</v>
      </c>
      <c r="AX67" s="8">
        <v>0.21199999999999999</v>
      </c>
      <c r="AY67" s="8">
        <v>0.1966</v>
      </c>
      <c r="AZ67" s="8">
        <v>0.12859999999999999</v>
      </c>
      <c r="BA67" s="8">
        <v>2.5999999999999999E-2</v>
      </c>
      <c r="BB67" s="9">
        <v>-8.3500000000000005E-2</v>
      </c>
      <c r="BC67" s="9">
        <v>-0.1706</v>
      </c>
      <c r="BD67" s="9">
        <v>-0.21199999999999999</v>
      </c>
      <c r="BE67" s="9">
        <v>-0.1966</v>
      </c>
      <c r="BF67" s="9">
        <v>-0.12859999999999999</v>
      </c>
      <c r="BG67" s="9">
        <v>-2.5999999999999999E-2</v>
      </c>
    </row>
    <row r="68" spans="2:74" ht="16" thickBot="1" x14ac:dyDescent="0.4">
      <c r="B68" s="2">
        <v>24</v>
      </c>
      <c r="C68" s="8">
        <v>0.77869999999999995</v>
      </c>
      <c r="D68" s="8">
        <v>1.5488999999999999</v>
      </c>
      <c r="E68" s="8">
        <v>1.9040999999999999</v>
      </c>
      <c r="F68" s="8">
        <v>1.7491000000000001</v>
      </c>
      <c r="G68" s="8">
        <v>1.1254</v>
      </c>
      <c r="H68" s="8">
        <v>0.2001</v>
      </c>
      <c r="I68" s="9">
        <v>-2.5579000000000001</v>
      </c>
      <c r="J68" s="9">
        <v>-5.0876999999999999</v>
      </c>
      <c r="K68" s="9">
        <v>-6.2542999999999997</v>
      </c>
      <c r="L68" s="9">
        <v>-5.7450999999999999</v>
      </c>
      <c r="M68" s="9">
        <v>-3.6964000000000001</v>
      </c>
      <c r="N68" s="9">
        <v>-0.65739999999999998</v>
      </c>
      <c r="Q68" s="2">
        <v>24</v>
      </c>
      <c r="R68" s="8">
        <v>0.51819999999999999</v>
      </c>
      <c r="S68" s="8">
        <v>1.0306999999999999</v>
      </c>
      <c r="T68" s="8">
        <v>1.2669999999999999</v>
      </c>
      <c r="U68" s="8">
        <v>1.1638999999999999</v>
      </c>
      <c r="V68" s="8">
        <v>0.74890000000000001</v>
      </c>
      <c r="W68" s="8">
        <v>0.13320000000000001</v>
      </c>
      <c r="X68" s="9">
        <v>-0.51819999999999999</v>
      </c>
      <c r="Y68" s="9">
        <v>-1.0306999999999999</v>
      </c>
      <c r="Z68" s="9">
        <v>-1.2669999999999999</v>
      </c>
      <c r="AA68" s="9">
        <v>-1.1638999999999999</v>
      </c>
      <c r="AB68" s="9">
        <v>-0.74890000000000001</v>
      </c>
      <c r="AC68" s="9">
        <v>-0.13320000000000001</v>
      </c>
      <c r="AF68" s="2">
        <v>24</v>
      </c>
      <c r="AG68" s="8">
        <v>0.26779999999999998</v>
      </c>
      <c r="AH68" s="8">
        <v>0.53259999999999996</v>
      </c>
      <c r="AI68" s="8">
        <v>0.65469999999999995</v>
      </c>
      <c r="AJ68" s="8">
        <v>0.60140000000000005</v>
      </c>
      <c r="AK68" s="8">
        <v>0.38690000000000002</v>
      </c>
      <c r="AL68" s="8">
        <v>6.88E-2</v>
      </c>
      <c r="AM68" s="9">
        <v>-0.26779999999999998</v>
      </c>
      <c r="AN68" s="9">
        <v>-0.53259999999999996</v>
      </c>
      <c r="AO68" s="9">
        <v>-0.65469999999999995</v>
      </c>
      <c r="AP68" s="9">
        <v>-0.60140000000000005</v>
      </c>
      <c r="AQ68" s="9">
        <v>-0.38690000000000002</v>
      </c>
      <c r="AR68" s="9">
        <v>-6.88E-2</v>
      </c>
      <c r="AU68" s="2">
        <v>24</v>
      </c>
      <c r="AV68" s="8">
        <v>8.6900000000000005E-2</v>
      </c>
      <c r="AW68" s="8">
        <v>0.17280000000000001</v>
      </c>
      <c r="AX68" s="8">
        <v>0.21240000000000001</v>
      </c>
      <c r="AY68" s="8">
        <v>0.1951</v>
      </c>
      <c r="AZ68" s="8">
        <v>0.12559999999999999</v>
      </c>
      <c r="BA68" s="8">
        <v>2.23E-2</v>
      </c>
      <c r="BB68" s="9">
        <v>-8.6900000000000005E-2</v>
      </c>
      <c r="BC68" s="9">
        <v>-0.17280000000000001</v>
      </c>
      <c r="BD68" s="9">
        <v>-0.21240000000000001</v>
      </c>
      <c r="BE68" s="9">
        <v>-0.1951</v>
      </c>
      <c r="BF68" s="9">
        <v>-0.12559999999999999</v>
      </c>
      <c r="BG68" s="9">
        <v>-2.23E-2</v>
      </c>
    </row>
    <row r="69" spans="2:74" ht="16" thickBot="1" x14ac:dyDescent="0.4">
      <c r="B69" s="2">
        <v>25</v>
      </c>
      <c r="C69" s="8">
        <v>0.80910000000000004</v>
      </c>
      <c r="D69" s="8">
        <v>1.5683</v>
      </c>
      <c r="E69" s="8">
        <v>1.9073</v>
      </c>
      <c r="F69" s="8">
        <v>1.7352000000000001</v>
      </c>
      <c r="G69" s="8">
        <v>1.0982000000000001</v>
      </c>
      <c r="H69" s="8">
        <v>0.16689999999999999</v>
      </c>
      <c r="I69" s="9">
        <v>-2.6577999999999999</v>
      </c>
      <c r="J69" s="9">
        <v>-5.1515000000000004</v>
      </c>
      <c r="K69" s="9">
        <v>-6.2648000000000001</v>
      </c>
      <c r="L69" s="9">
        <v>-5.6996000000000002</v>
      </c>
      <c r="M69" s="9">
        <v>-3.6071</v>
      </c>
      <c r="N69" s="9">
        <v>-0.54810000000000003</v>
      </c>
      <c r="Q69" s="2">
        <v>25</v>
      </c>
      <c r="R69" s="8">
        <v>0.53839999999999999</v>
      </c>
      <c r="S69" s="8">
        <v>1.0436000000000001</v>
      </c>
      <c r="T69" s="8">
        <v>1.2692000000000001</v>
      </c>
      <c r="U69" s="8">
        <v>1.1547000000000001</v>
      </c>
      <c r="V69" s="8">
        <v>0.73080000000000001</v>
      </c>
      <c r="W69" s="8">
        <v>0.111</v>
      </c>
      <c r="X69" s="9">
        <v>-0.53839999999999999</v>
      </c>
      <c r="Y69" s="9">
        <v>-1.0436000000000001</v>
      </c>
      <c r="Z69" s="9">
        <v>-1.2692000000000001</v>
      </c>
      <c r="AA69" s="9">
        <v>-1.1547000000000001</v>
      </c>
      <c r="AB69" s="9">
        <v>-0.73080000000000001</v>
      </c>
      <c r="AC69" s="9">
        <v>-0.111</v>
      </c>
      <c r="AF69" s="2">
        <v>25</v>
      </c>
      <c r="AG69" s="8">
        <v>0.2782</v>
      </c>
      <c r="AH69" s="8">
        <v>0.5393</v>
      </c>
      <c r="AI69" s="8">
        <v>0.65580000000000005</v>
      </c>
      <c r="AJ69" s="8">
        <v>0.59660000000000002</v>
      </c>
      <c r="AK69" s="8">
        <v>0.37759999999999999</v>
      </c>
      <c r="AL69" s="8">
        <v>5.74E-2</v>
      </c>
      <c r="AM69" s="9">
        <v>-0.2782</v>
      </c>
      <c r="AN69" s="9">
        <v>-0.5393</v>
      </c>
      <c r="AO69" s="9">
        <v>-0.65580000000000005</v>
      </c>
      <c r="AP69" s="9">
        <v>-0.59660000000000002</v>
      </c>
      <c r="AQ69" s="9">
        <v>-0.37759999999999999</v>
      </c>
      <c r="AR69" s="9">
        <v>-5.74E-2</v>
      </c>
      <c r="AU69" s="2">
        <v>25</v>
      </c>
      <c r="AV69" s="8">
        <v>9.0300000000000005E-2</v>
      </c>
      <c r="AW69" s="8">
        <v>0.17499999999999999</v>
      </c>
      <c r="AX69" s="8">
        <v>0.21279999999999999</v>
      </c>
      <c r="AY69" s="8">
        <v>0.19359999999999999</v>
      </c>
      <c r="AZ69" s="8">
        <v>0.1225</v>
      </c>
      <c r="BA69" s="8">
        <v>1.8599999999999998E-2</v>
      </c>
      <c r="BB69" s="9">
        <v>-9.0300000000000005E-2</v>
      </c>
      <c r="BC69" s="9">
        <v>-0.17499999999999999</v>
      </c>
      <c r="BD69" s="9">
        <v>-0.21279999999999999</v>
      </c>
      <c r="BE69" s="9">
        <v>-0.19359999999999999</v>
      </c>
      <c r="BF69" s="9">
        <v>-0.1225</v>
      </c>
      <c r="BG69" s="9">
        <v>-1.8599999999999998E-2</v>
      </c>
    </row>
    <row r="70" spans="2:74" ht="16" thickBot="1" x14ac:dyDescent="0.4">
      <c r="B70" s="2">
        <v>26</v>
      </c>
      <c r="C70" s="8">
        <v>0.83930000000000005</v>
      </c>
      <c r="D70" s="8">
        <v>1.5872999999999999</v>
      </c>
      <c r="E70" s="8">
        <v>1.9098999999999999</v>
      </c>
      <c r="F70" s="8">
        <v>1.7208000000000001</v>
      </c>
      <c r="G70" s="8">
        <v>1.0706</v>
      </c>
      <c r="H70" s="8">
        <v>0.1336</v>
      </c>
      <c r="I70" s="9">
        <v>-2.7568000000000001</v>
      </c>
      <c r="J70" s="9">
        <v>-5.2135999999999996</v>
      </c>
      <c r="K70" s="9">
        <v>-6.2735000000000003</v>
      </c>
      <c r="L70" s="9">
        <v>-5.6523000000000003</v>
      </c>
      <c r="M70" s="9">
        <v>-3.5165999999999999</v>
      </c>
      <c r="N70" s="9">
        <v>-0.43869999999999998</v>
      </c>
      <c r="Q70" s="2">
        <v>26</v>
      </c>
      <c r="R70" s="8">
        <v>0.5585</v>
      </c>
      <c r="S70" s="8">
        <v>1.0562</v>
      </c>
      <c r="T70" s="8">
        <v>1.2708999999999999</v>
      </c>
      <c r="U70" s="8">
        <v>1.1451</v>
      </c>
      <c r="V70" s="8">
        <v>0.71240000000000003</v>
      </c>
      <c r="W70" s="8">
        <v>8.8900000000000007E-2</v>
      </c>
      <c r="X70" s="9">
        <v>-0.5585</v>
      </c>
      <c r="Y70" s="9">
        <v>-1.0562</v>
      </c>
      <c r="Z70" s="9">
        <v>-1.2708999999999999</v>
      </c>
      <c r="AA70" s="9">
        <v>-1.1451</v>
      </c>
      <c r="AB70" s="9">
        <v>-0.71240000000000003</v>
      </c>
      <c r="AC70" s="9">
        <v>-8.8900000000000007E-2</v>
      </c>
      <c r="AF70" s="2">
        <v>26</v>
      </c>
      <c r="AG70" s="8">
        <v>0.28860000000000002</v>
      </c>
      <c r="AH70" s="8">
        <v>0.54579999999999995</v>
      </c>
      <c r="AI70" s="8">
        <v>0.65669999999999995</v>
      </c>
      <c r="AJ70" s="8">
        <v>0.5917</v>
      </c>
      <c r="AK70" s="8">
        <v>0.36809999999999998</v>
      </c>
      <c r="AL70" s="8">
        <v>4.5900000000000003E-2</v>
      </c>
      <c r="AM70" s="9">
        <v>-0.28860000000000002</v>
      </c>
      <c r="AN70" s="9">
        <v>-0.54579999999999995</v>
      </c>
      <c r="AO70" s="9">
        <v>-0.65669999999999995</v>
      </c>
      <c r="AP70" s="9">
        <v>-0.5917</v>
      </c>
      <c r="AQ70" s="9">
        <v>-0.36809999999999998</v>
      </c>
      <c r="AR70" s="9">
        <v>-4.5900000000000003E-2</v>
      </c>
      <c r="AU70" s="2">
        <v>26</v>
      </c>
      <c r="AV70" s="8">
        <v>9.3600000000000003E-2</v>
      </c>
      <c r="AW70" s="8">
        <v>0.17710000000000001</v>
      </c>
      <c r="AX70" s="8">
        <v>0.21310000000000001</v>
      </c>
      <c r="AY70" s="8">
        <v>0.192</v>
      </c>
      <c r="AZ70" s="8">
        <v>0.1195</v>
      </c>
      <c r="BA70" s="8">
        <v>1.49E-2</v>
      </c>
      <c r="BB70" s="9">
        <v>-9.3600000000000003E-2</v>
      </c>
      <c r="BC70" s="9">
        <v>-0.17710000000000001</v>
      </c>
      <c r="BD70" s="9">
        <v>-0.21310000000000001</v>
      </c>
      <c r="BE70" s="9">
        <v>-0.192</v>
      </c>
      <c r="BF70" s="9">
        <v>-0.1195</v>
      </c>
      <c r="BG70" s="9">
        <v>-1.49E-2</v>
      </c>
    </row>
    <row r="71" spans="2:74" ht="16" thickBot="1" x14ac:dyDescent="0.4">
      <c r="B71" s="2">
        <v>27</v>
      </c>
      <c r="C71" s="8">
        <v>0.86919999999999997</v>
      </c>
      <c r="D71" s="8">
        <v>1.6056999999999999</v>
      </c>
      <c r="E71" s="8">
        <v>1.9119999999999999</v>
      </c>
      <c r="F71" s="8">
        <v>1.7059</v>
      </c>
      <c r="G71" s="8">
        <v>1.0427999999999999</v>
      </c>
      <c r="H71" s="8">
        <v>0.1002</v>
      </c>
      <c r="I71" s="9">
        <v>-2.855</v>
      </c>
      <c r="J71" s="9">
        <v>-5.2742000000000004</v>
      </c>
      <c r="K71" s="9">
        <v>-6.2801999999999998</v>
      </c>
      <c r="L71" s="9">
        <v>-5.6032999999999999</v>
      </c>
      <c r="M71" s="9">
        <v>-3.4251</v>
      </c>
      <c r="N71" s="9">
        <v>-0.3291</v>
      </c>
      <c r="Q71" s="2">
        <v>27</v>
      </c>
      <c r="R71" s="8">
        <v>0.57840000000000003</v>
      </c>
      <c r="S71" s="8">
        <v>1.0685</v>
      </c>
      <c r="T71" s="8">
        <v>1.2723</v>
      </c>
      <c r="U71" s="8">
        <v>1.1352</v>
      </c>
      <c r="V71" s="8">
        <v>0.69389999999999996</v>
      </c>
      <c r="W71" s="8">
        <v>6.6699999999999995E-2</v>
      </c>
      <c r="X71" s="9">
        <v>-0.57840000000000003</v>
      </c>
      <c r="Y71" s="9">
        <v>-1.0685</v>
      </c>
      <c r="Z71" s="9">
        <v>-1.2723</v>
      </c>
      <c r="AA71" s="9">
        <v>-1.1352</v>
      </c>
      <c r="AB71" s="9">
        <v>-0.69389999999999996</v>
      </c>
      <c r="AC71" s="9">
        <v>-6.6699999999999995E-2</v>
      </c>
      <c r="AF71" s="2">
        <v>27</v>
      </c>
      <c r="AG71" s="8">
        <v>0.2989</v>
      </c>
      <c r="AH71" s="8">
        <v>0.55210000000000004</v>
      </c>
      <c r="AI71" s="8">
        <v>0.65739999999999998</v>
      </c>
      <c r="AJ71" s="8">
        <v>0.58660000000000001</v>
      </c>
      <c r="AK71" s="8">
        <v>0.35849999999999999</v>
      </c>
      <c r="AL71" s="8">
        <v>3.4500000000000003E-2</v>
      </c>
      <c r="AM71" s="9">
        <v>-0.2989</v>
      </c>
      <c r="AN71" s="9">
        <v>-0.55210000000000004</v>
      </c>
      <c r="AO71" s="9">
        <v>-0.65739999999999998</v>
      </c>
      <c r="AP71" s="9">
        <v>-0.58660000000000001</v>
      </c>
      <c r="AQ71" s="9">
        <v>-0.35849999999999999</v>
      </c>
      <c r="AR71" s="9">
        <v>-3.4500000000000003E-2</v>
      </c>
      <c r="AU71" s="2">
        <v>27</v>
      </c>
      <c r="AV71" s="8">
        <v>9.7000000000000003E-2</v>
      </c>
      <c r="AW71" s="8">
        <v>0.1792</v>
      </c>
      <c r="AX71" s="8">
        <v>0.21329999999999999</v>
      </c>
      <c r="AY71" s="8">
        <v>0.1903</v>
      </c>
      <c r="AZ71" s="8">
        <v>0.1163</v>
      </c>
      <c r="BA71" s="8">
        <v>1.12E-2</v>
      </c>
      <c r="BB71" s="9">
        <v>-9.7000000000000003E-2</v>
      </c>
      <c r="BC71" s="9">
        <v>-0.1792</v>
      </c>
      <c r="BD71" s="9">
        <v>-0.21329999999999999</v>
      </c>
      <c r="BE71" s="9">
        <v>-0.1903</v>
      </c>
      <c r="BF71" s="9">
        <v>-0.1163</v>
      </c>
      <c r="BG71" s="9">
        <v>-1.12E-2</v>
      </c>
    </row>
    <row r="72" spans="2:74" ht="16" thickBot="1" x14ac:dyDescent="0.4">
      <c r="B72" s="2">
        <v>28</v>
      </c>
      <c r="C72" s="8">
        <v>0.89890000000000003</v>
      </c>
      <c r="D72" s="8">
        <v>1.6236999999999999</v>
      </c>
      <c r="E72" s="8">
        <v>1.9134</v>
      </c>
      <c r="F72" s="8">
        <v>1.6904999999999999</v>
      </c>
      <c r="G72" s="8">
        <v>1.0145999999999999</v>
      </c>
      <c r="H72" s="8">
        <v>6.6799999999999998E-2</v>
      </c>
      <c r="I72" s="9">
        <v>-2.9523999999999999</v>
      </c>
      <c r="J72" s="9">
        <v>-5.3331999999999997</v>
      </c>
      <c r="K72" s="9">
        <v>-6.2849000000000004</v>
      </c>
      <c r="L72" s="9">
        <v>-5.5526999999999997</v>
      </c>
      <c r="M72" s="9">
        <v>-3.3325</v>
      </c>
      <c r="N72" s="9">
        <v>-0.2195</v>
      </c>
      <c r="Q72" s="2">
        <v>28</v>
      </c>
      <c r="R72" s="8">
        <v>0.59809999999999997</v>
      </c>
      <c r="S72" s="8">
        <v>1.0804</v>
      </c>
      <c r="T72" s="8">
        <v>1.2733000000000001</v>
      </c>
      <c r="U72" s="8">
        <v>1.1249</v>
      </c>
      <c r="V72" s="8">
        <v>0.67510000000000003</v>
      </c>
      <c r="W72" s="8">
        <v>4.4499999999999998E-2</v>
      </c>
      <c r="X72" s="9">
        <v>-0.59809999999999997</v>
      </c>
      <c r="Y72" s="9">
        <v>-1.0804</v>
      </c>
      <c r="Z72" s="9">
        <v>-1.2733000000000001</v>
      </c>
      <c r="AA72" s="9">
        <v>-1.1249</v>
      </c>
      <c r="AB72" s="9">
        <v>-0.67510000000000003</v>
      </c>
      <c r="AC72" s="9">
        <v>-4.4499999999999998E-2</v>
      </c>
      <c r="AF72" s="2">
        <v>28</v>
      </c>
      <c r="AG72" s="8">
        <v>0.30909999999999999</v>
      </c>
      <c r="AH72" s="8">
        <v>0.55830000000000002</v>
      </c>
      <c r="AI72" s="8">
        <v>0.65790000000000004</v>
      </c>
      <c r="AJ72" s="8">
        <v>0.58130000000000004</v>
      </c>
      <c r="AK72" s="8">
        <v>0.34889999999999999</v>
      </c>
      <c r="AL72" s="8">
        <v>2.3E-2</v>
      </c>
      <c r="AM72" s="9">
        <v>-0.30909999999999999</v>
      </c>
      <c r="AN72" s="9">
        <v>-0.55830000000000002</v>
      </c>
      <c r="AO72" s="9">
        <v>-0.65790000000000004</v>
      </c>
      <c r="AP72" s="9">
        <v>-0.58130000000000004</v>
      </c>
      <c r="AQ72" s="9">
        <v>-0.34889999999999999</v>
      </c>
      <c r="AR72" s="9">
        <v>-2.3E-2</v>
      </c>
      <c r="AU72" s="2">
        <v>28</v>
      </c>
      <c r="AV72" s="8">
        <v>0.1003</v>
      </c>
      <c r="AW72" s="8">
        <v>0.1812</v>
      </c>
      <c r="AX72" s="8">
        <v>0.2135</v>
      </c>
      <c r="AY72" s="8">
        <v>0.18859999999999999</v>
      </c>
      <c r="AZ72" s="8">
        <v>0.1132</v>
      </c>
      <c r="BA72" s="8">
        <v>7.4999999999999997E-3</v>
      </c>
      <c r="BB72" s="9">
        <v>-0.1003</v>
      </c>
      <c r="BC72" s="9">
        <v>-0.1812</v>
      </c>
      <c r="BD72" s="9">
        <v>-0.2135</v>
      </c>
      <c r="BE72" s="9">
        <v>-0.18859999999999999</v>
      </c>
      <c r="BF72" s="9">
        <v>-0.1132</v>
      </c>
      <c r="BG72" s="9">
        <v>-7.4999999999999997E-3</v>
      </c>
    </row>
    <row r="73" spans="2:74" ht="16" thickBot="1" x14ac:dyDescent="0.4">
      <c r="B73" s="2">
        <v>29</v>
      </c>
      <c r="C73" s="8">
        <v>0.92820000000000003</v>
      </c>
      <c r="D73" s="8">
        <v>1.6411</v>
      </c>
      <c r="E73" s="8">
        <v>1.9142999999999999</v>
      </c>
      <c r="F73" s="8">
        <v>1.6745000000000001</v>
      </c>
      <c r="G73" s="8">
        <v>0.98609999999999998</v>
      </c>
      <c r="H73" s="8">
        <v>3.3399999999999999E-2</v>
      </c>
      <c r="I73" s="9">
        <v>-3.0489000000000002</v>
      </c>
      <c r="J73" s="9">
        <v>-5.3905000000000003</v>
      </c>
      <c r="K73" s="9">
        <v>-6.2877999999999998</v>
      </c>
      <c r="L73" s="9">
        <v>-5.5003000000000002</v>
      </c>
      <c r="M73" s="9">
        <v>-3.2389999999999999</v>
      </c>
      <c r="N73" s="9">
        <v>-0.10979999999999999</v>
      </c>
      <c r="Q73" s="2">
        <v>29</v>
      </c>
      <c r="R73" s="8">
        <v>0.61770000000000003</v>
      </c>
      <c r="S73" s="8">
        <v>1.0921000000000001</v>
      </c>
      <c r="T73" s="8">
        <v>1.2738</v>
      </c>
      <c r="U73" s="8">
        <v>1.1143000000000001</v>
      </c>
      <c r="V73" s="8">
        <v>0.65620000000000001</v>
      </c>
      <c r="W73" s="8">
        <v>2.2200000000000001E-2</v>
      </c>
      <c r="X73" s="9">
        <v>-0.61770000000000003</v>
      </c>
      <c r="Y73" s="9">
        <v>-1.0921000000000001</v>
      </c>
      <c r="Z73" s="9">
        <v>-1.2738</v>
      </c>
      <c r="AA73" s="9">
        <v>-1.1143000000000001</v>
      </c>
      <c r="AB73" s="9">
        <v>-0.65620000000000001</v>
      </c>
      <c r="AC73" s="9">
        <v>-2.2200000000000001E-2</v>
      </c>
      <c r="AF73" s="2">
        <v>29</v>
      </c>
      <c r="AG73" s="8">
        <v>0.31919999999999998</v>
      </c>
      <c r="AH73" s="8">
        <v>0.56430000000000002</v>
      </c>
      <c r="AI73" s="8">
        <v>0.65820000000000001</v>
      </c>
      <c r="AJ73" s="8">
        <v>0.57579999999999998</v>
      </c>
      <c r="AK73" s="8">
        <v>0.33910000000000001</v>
      </c>
      <c r="AL73" s="8">
        <v>1.15E-2</v>
      </c>
      <c r="AM73" s="9">
        <v>-0.31919999999999998</v>
      </c>
      <c r="AN73" s="9">
        <v>-0.56430000000000002</v>
      </c>
      <c r="AO73" s="9">
        <v>-0.65820000000000001</v>
      </c>
      <c r="AP73" s="9">
        <v>-0.57579999999999998</v>
      </c>
      <c r="AQ73" s="9">
        <v>-0.33910000000000001</v>
      </c>
      <c r="AR73" s="9">
        <v>-1.15E-2</v>
      </c>
      <c r="AU73" s="2">
        <v>29</v>
      </c>
      <c r="AV73" s="8">
        <v>0.1036</v>
      </c>
      <c r="AW73" s="8">
        <v>0.18310000000000001</v>
      </c>
      <c r="AX73" s="8">
        <v>0.21360000000000001</v>
      </c>
      <c r="AY73" s="8">
        <v>0.18679999999999999</v>
      </c>
      <c r="AZ73" s="8">
        <v>0.11</v>
      </c>
      <c r="BA73" s="8">
        <v>3.7000000000000002E-3</v>
      </c>
      <c r="BB73" s="9">
        <v>-0.1036</v>
      </c>
      <c r="BC73" s="9">
        <v>-0.18310000000000001</v>
      </c>
      <c r="BD73" s="9">
        <v>-0.21360000000000001</v>
      </c>
      <c r="BE73" s="9">
        <v>-0.18679999999999999</v>
      </c>
      <c r="BF73" s="9">
        <v>-0.11</v>
      </c>
      <c r="BG73" s="9">
        <v>-3.7000000000000002E-3</v>
      </c>
    </row>
    <row r="74" spans="2:74" ht="16" thickBot="1" x14ac:dyDescent="0.4">
      <c r="B74" s="2">
        <v>30</v>
      </c>
      <c r="C74" s="8">
        <v>0.95730000000000004</v>
      </c>
      <c r="D74" s="8">
        <v>1.6580999999999999</v>
      </c>
      <c r="E74" s="8">
        <v>1.9146000000000001</v>
      </c>
      <c r="F74" s="8">
        <v>1.6580999999999999</v>
      </c>
      <c r="G74" s="8">
        <v>0.95730000000000004</v>
      </c>
      <c r="H74" s="8">
        <v>0</v>
      </c>
      <c r="I74" s="9">
        <v>-3.1444000000000001</v>
      </c>
      <c r="J74" s="9">
        <v>-5.4462000000000002</v>
      </c>
      <c r="K74" s="9">
        <v>-6.2888000000000002</v>
      </c>
      <c r="L74" s="9">
        <v>-5.4462000000000002</v>
      </c>
      <c r="M74" s="9">
        <v>-3.1444000000000001</v>
      </c>
      <c r="N74" s="9">
        <v>0</v>
      </c>
      <c r="Q74" s="2">
        <v>30</v>
      </c>
      <c r="R74" s="8">
        <v>0.63700000000000001</v>
      </c>
      <c r="S74" s="8">
        <v>1.1032999999999999</v>
      </c>
      <c r="T74" s="8">
        <v>1.274</v>
      </c>
      <c r="U74" s="8">
        <v>1.1032999999999999</v>
      </c>
      <c r="V74" s="8">
        <v>0.63700000000000001</v>
      </c>
      <c r="W74" s="8">
        <v>0</v>
      </c>
      <c r="X74" s="9">
        <v>-0.63700000000000001</v>
      </c>
      <c r="Y74" s="9">
        <v>-1.1032999999999999</v>
      </c>
      <c r="Z74" s="9">
        <v>-1.274</v>
      </c>
      <c r="AA74" s="9">
        <v>-1.1032999999999999</v>
      </c>
      <c r="AB74" s="9">
        <v>-0.63700000000000001</v>
      </c>
      <c r="AC74" s="9">
        <v>0</v>
      </c>
      <c r="AF74" s="2">
        <v>30</v>
      </c>
      <c r="AG74" s="8">
        <v>0.32919999999999999</v>
      </c>
      <c r="AH74" s="8">
        <v>0.57010000000000005</v>
      </c>
      <c r="AI74" s="8">
        <v>0.6583</v>
      </c>
      <c r="AJ74" s="8">
        <v>0.57010000000000005</v>
      </c>
      <c r="AK74" s="8">
        <v>0.32919999999999999</v>
      </c>
      <c r="AL74" s="8">
        <v>0</v>
      </c>
      <c r="AM74" s="9">
        <v>-0.32919999999999999</v>
      </c>
      <c r="AN74" s="9">
        <v>-0.57010000000000005</v>
      </c>
      <c r="AO74" s="9">
        <v>-0.6583</v>
      </c>
      <c r="AP74" s="9">
        <v>-0.57010000000000005</v>
      </c>
      <c r="AQ74" s="9">
        <v>-0.32919999999999999</v>
      </c>
      <c r="AR74" s="9">
        <v>0</v>
      </c>
      <c r="AU74" s="2">
        <v>30</v>
      </c>
      <c r="AV74" s="8">
        <v>0.10680000000000001</v>
      </c>
      <c r="AW74" s="8">
        <v>0.185</v>
      </c>
      <c r="AX74" s="8">
        <v>0.21360000000000001</v>
      </c>
      <c r="AY74" s="8">
        <v>0.185</v>
      </c>
      <c r="AZ74" s="8">
        <v>0.10680000000000001</v>
      </c>
      <c r="BA74" s="8">
        <v>0</v>
      </c>
      <c r="BB74" s="9">
        <v>-0.10680000000000001</v>
      </c>
      <c r="BC74" s="9">
        <v>-0.185</v>
      </c>
      <c r="BD74" s="9">
        <v>-0.21360000000000001</v>
      </c>
      <c r="BE74" s="9">
        <v>-0.185</v>
      </c>
      <c r="BF74" s="9">
        <v>-0.10680000000000001</v>
      </c>
      <c r="BG74" s="9">
        <v>0</v>
      </c>
    </row>
    <row r="77" spans="2:74" ht="15" thickBot="1" x14ac:dyDescent="0.4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2:74" ht="15.5" thickBot="1" x14ac:dyDescent="0.4">
      <c r="B78" s="32"/>
      <c r="C78" s="71" t="s">
        <v>232</v>
      </c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3"/>
      <c r="Q78" s="85" t="s">
        <v>233</v>
      </c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7"/>
      <c r="AF78" s="80" t="s">
        <v>234</v>
      </c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2"/>
      <c r="AT78" s="27"/>
      <c r="AU78" s="80" t="s">
        <v>235</v>
      </c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2"/>
      <c r="BI78" s="27"/>
      <c r="BJ78" s="80" t="s">
        <v>236</v>
      </c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2"/>
    </row>
    <row r="79" spans="2:74" ht="15.5" thickBot="1" x14ac:dyDescent="0.4">
      <c r="B79" s="32" t="s">
        <v>15</v>
      </c>
      <c r="C79" s="32">
        <v>0</v>
      </c>
      <c r="D79" s="32">
        <v>30</v>
      </c>
      <c r="E79" s="32">
        <v>60</v>
      </c>
      <c r="F79" s="32">
        <v>90</v>
      </c>
      <c r="G79" s="32">
        <v>120</v>
      </c>
      <c r="H79" s="32">
        <v>150</v>
      </c>
      <c r="I79" s="32">
        <v>180</v>
      </c>
      <c r="J79" s="32">
        <v>210</v>
      </c>
      <c r="K79" s="32">
        <v>240</v>
      </c>
      <c r="L79" s="32">
        <v>270</v>
      </c>
      <c r="M79" s="32">
        <v>300</v>
      </c>
      <c r="N79" s="32">
        <v>330</v>
      </c>
      <c r="Q79" s="28" t="s">
        <v>15</v>
      </c>
      <c r="R79" s="28" t="s">
        <v>16</v>
      </c>
      <c r="S79" s="28" t="s">
        <v>17</v>
      </c>
      <c r="T79" s="28" t="s">
        <v>18</v>
      </c>
      <c r="U79" s="28" t="s">
        <v>19</v>
      </c>
      <c r="V79" s="28" t="s">
        <v>20</v>
      </c>
      <c r="W79" s="28" t="s">
        <v>21</v>
      </c>
      <c r="X79" s="28" t="s">
        <v>36</v>
      </c>
      <c r="Y79" s="29">
        <v>210</v>
      </c>
      <c r="Z79" s="29">
        <v>240</v>
      </c>
      <c r="AA79" s="29">
        <v>270</v>
      </c>
      <c r="AB79" s="29">
        <v>300</v>
      </c>
      <c r="AC79" s="29">
        <v>330</v>
      </c>
      <c r="AF79" s="11" t="s">
        <v>15</v>
      </c>
      <c r="AG79" s="11" t="s">
        <v>16</v>
      </c>
      <c r="AH79" s="11" t="s">
        <v>17</v>
      </c>
      <c r="AI79" s="11" t="s">
        <v>18</v>
      </c>
      <c r="AJ79" s="11" t="s">
        <v>19</v>
      </c>
      <c r="AK79" s="11" t="s">
        <v>20</v>
      </c>
      <c r="AL79" s="11" t="s">
        <v>21</v>
      </c>
      <c r="AM79" s="11" t="s">
        <v>36</v>
      </c>
      <c r="AN79" s="11" t="s">
        <v>37</v>
      </c>
      <c r="AO79" s="11" t="s">
        <v>38</v>
      </c>
      <c r="AP79" s="11" t="s">
        <v>39</v>
      </c>
      <c r="AQ79" s="11" t="s">
        <v>40</v>
      </c>
      <c r="AR79" s="11" t="s">
        <v>41</v>
      </c>
      <c r="AT79" s="27"/>
      <c r="AU79" s="11" t="s">
        <v>15</v>
      </c>
      <c r="AV79" s="11" t="s">
        <v>16</v>
      </c>
      <c r="AW79" s="11" t="s">
        <v>17</v>
      </c>
      <c r="AX79" s="11" t="s">
        <v>18</v>
      </c>
      <c r="AY79" s="11" t="s">
        <v>19</v>
      </c>
      <c r="AZ79" s="11" t="s">
        <v>20</v>
      </c>
      <c r="BA79" s="11" t="s">
        <v>21</v>
      </c>
      <c r="BB79" s="11" t="s">
        <v>36</v>
      </c>
      <c r="BC79" s="11" t="s">
        <v>37</v>
      </c>
      <c r="BD79" s="11" t="s">
        <v>38</v>
      </c>
      <c r="BE79" s="11" t="s">
        <v>39</v>
      </c>
      <c r="BF79" s="11" t="s">
        <v>40</v>
      </c>
      <c r="BG79" s="11" t="s">
        <v>41</v>
      </c>
      <c r="BI79" s="27"/>
      <c r="BJ79" s="11" t="s">
        <v>15</v>
      </c>
      <c r="BK79" s="11" t="s">
        <v>16</v>
      </c>
      <c r="BL79" s="11" t="s">
        <v>17</v>
      </c>
      <c r="BM79" s="11" t="s">
        <v>18</v>
      </c>
      <c r="BN79" s="11" t="s">
        <v>19</v>
      </c>
      <c r="BO79" s="11" t="s">
        <v>20</v>
      </c>
      <c r="BP79" s="11" t="s">
        <v>21</v>
      </c>
      <c r="BQ79" s="11" t="s">
        <v>36</v>
      </c>
      <c r="BR79" s="11" t="s">
        <v>37</v>
      </c>
      <c r="BS79" s="11" t="s">
        <v>38</v>
      </c>
      <c r="BT79" s="11" t="s">
        <v>39</v>
      </c>
      <c r="BU79" s="11" t="s">
        <v>40</v>
      </c>
      <c r="BV79" s="11" t="s">
        <v>41</v>
      </c>
    </row>
    <row r="80" spans="2:74" ht="16" thickBot="1" x14ac:dyDescent="0.4">
      <c r="B80" s="33">
        <v>0</v>
      </c>
      <c r="C80" s="33" t="s">
        <v>22</v>
      </c>
      <c r="D80" s="33">
        <v>-9.2600000000000002E-2</v>
      </c>
      <c r="E80" s="33">
        <v>-0.1603</v>
      </c>
      <c r="F80" s="33">
        <v>-0.18509999999999999</v>
      </c>
      <c r="G80" s="33">
        <v>-0.1603</v>
      </c>
      <c r="H80" s="33">
        <v>-9.2600000000000002E-2</v>
      </c>
      <c r="I80" s="33" t="s">
        <v>22</v>
      </c>
      <c r="J80" s="33">
        <v>9.2600000000000002E-2</v>
      </c>
      <c r="K80" s="33">
        <v>0.1603</v>
      </c>
      <c r="L80" s="33">
        <v>0.18509999999999999</v>
      </c>
      <c r="M80" s="33">
        <v>0.1603</v>
      </c>
      <c r="N80" s="33">
        <v>9.2600000000000002E-2</v>
      </c>
      <c r="Q80" s="30" t="s">
        <v>16</v>
      </c>
      <c r="R80" s="30" t="s">
        <v>22</v>
      </c>
      <c r="S80" s="30">
        <v>-5.7200000000000001E-2</v>
      </c>
      <c r="T80" s="30" t="s">
        <v>237</v>
      </c>
      <c r="U80" s="30">
        <v>-0.1143</v>
      </c>
      <c r="V80" s="30" t="s">
        <v>237</v>
      </c>
      <c r="W80" s="30">
        <v>-5.7200000000000001E-2</v>
      </c>
      <c r="X80" s="30" t="s">
        <v>22</v>
      </c>
      <c r="Y80" s="30">
        <v>5.7200000000000001E-2</v>
      </c>
      <c r="Z80" s="30" t="s">
        <v>238</v>
      </c>
      <c r="AA80" s="30">
        <v>0.1143</v>
      </c>
      <c r="AB80" s="30" t="s">
        <v>238</v>
      </c>
      <c r="AC80" s="30">
        <v>5.7200000000000001E-2</v>
      </c>
      <c r="AF80" s="13">
        <v>0</v>
      </c>
      <c r="AG80" s="13" t="s">
        <v>22</v>
      </c>
      <c r="AH80" s="13">
        <v>2.9399999999999999E-2</v>
      </c>
      <c r="AI80" s="13">
        <v>5.0900000000000001E-2</v>
      </c>
      <c r="AJ80" s="13">
        <v>5.8799999999999998E-2</v>
      </c>
      <c r="AK80" s="13">
        <v>5.0900000000000001E-2</v>
      </c>
      <c r="AL80" s="13">
        <v>2.9399999999999999E-2</v>
      </c>
      <c r="AM80" s="13" t="s">
        <v>22</v>
      </c>
      <c r="AN80" s="13">
        <v>-2.9399999999999999E-2</v>
      </c>
      <c r="AO80" s="13">
        <v>-5.0900000000000001E-2</v>
      </c>
      <c r="AP80" s="13">
        <v>-5.8799999999999998E-2</v>
      </c>
      <c r="AQ80" s="13">
        <v>-5.0900000000000001E-2</v>
      </c>
      <c r="AR80" s="13">
        <v>-2.9399999999999999E-2</v>
      </c>
      <c r="AU80" s="13">
        <v>0</v>
      </c>
      <c r="AV80" s="13" t="s">
        <v>22</v>
      </c>
      <c r="AW80" s="13">
        <v>2.8500000000000001E-2</v>
      </c>
      <c r="AX80" s="13">
        <v>4.9399999999999999E-2</v>
      </c>
      <c r="AY80" s="13">
        <v>5.7099999999999998E-2</v>
      </c>
      <c r="AZ80" s="13">
        <v>4.9399999999999999E-2</v>
      </c>
      <c r="BA80" s="13">
        <v>2.8500000000000001E-2</v>
      </c>
      <c r="BB80" s="13" t="s">
        <v>22</v>
      </c>
      <c r="BC80" s="13">
        <v>-2.8500000000000001E-2</v>
      </c>
      <c r="BD80" s="13">
        <v>-4.9399999999999999E-2</v>
      </c>
      <c r="BE80" s="13">
        <v>-5.7099999999999998E-2</v>
      </c>
      <c r="BF80" s="13">
        <v>-4.9399999999999999E-2</v>
      </c>
      <c r="BG80" s="13">
        <v>-2.8500000000000001E-2</v>
      </c>
      <c r="BJ80" s="13">
        <v>0</v>
      </c>
      <c r="BK80" s="13" t="s">
        <v>22</v>
      </c>
      <c r="BL80" s="13">
        <v>2.6700000000000002E-2</v>
      </c>
      <c r="BM80" s="13">
        <v>4.6199999999999998E-2</v>
      </c>
      <c r="BN80" s="13">
        <v>5.33E-2</v>
      </c>
      <c r="BO80" s="13">
        <v>4.6199999999999998E-2</v>
      </c>
      <c r="BP80" s="13">
        <v>2.6700000000000002E-2</v>
      </c>
      <c r="BQ80" s="13" t="s">
        <v>22</v>
      </c>
      <c r="BR80" s="13">
        <v>-2.6700000000000002E-2</v>
      </c>
      <c r="BS80" s="13">
        <v>-4.6199999999999998E-2</v>
      </c>
      <c r="BT80" s="13">
        <v>-5.33E-2</v>
      </c>
      <c r="BU80" s="13">
        <v>-4.6199999999999998E-2</v>
      </c>
      <c r="BV80" s="13">
        <v>-2.6700000000000002E-2</v>
      </c>
    </row>
    <row r="81" spans="2:74" ht="16" thickBot="1" x14ac:dyDescent="0.4">
      <c r="B81" s="33">
        <v>1</v>
      </c>
      <c r="C81" s="33">
        <v>-3.2000000000000002E-3</v>
      </c>
      <c r="D81" s="33">
        <v>-9.5299999999999996E-2</v>
      </c>
      <c r="E81" s="33">
        <v>-0.16189999999999999</v>
      </c>
      <c r="F81" s="33">
        <v>-0.18509999999999999</v>
      </c>
      <c r="G81" s="33">
        <v>-0.15870000000000001</v>
      </c>
      <c r="H81" s="33">
        <v>-8.9700000000000002E-2</v>
      </c>
      <c r="I81" s="33">
        <v>3.2000000000000002E-3</v>
      </c>
      <c r="J81" s="33">
        <v>9.5299999999999996E-2</v>
      </c>
      <c r="K81" s="33">
        <v>0.16189999999999999</v>
      </c>
      <c r="L81" s="33">
        <v>0.18509999999999999</v>
      </c>
      <c r="M81" s="33">
        <v>0.15870000000000001</v>
      </c>
      <c r="N81" s="33">
        <v>8.9700000000000002E-2</v>
      </c>
      <c r="Q81" s="30" t="s">
        <v>42</v>
      </c>
      <c r="R81" s="30" t="s">
        <v>55</v>
      </c>
      <c r="S81" s="30">
        <v>-5.8900000000000001E-2</v>
      </c>
      <c r="T81" s="30" t="s">
        <v>239</v>
      </c>
      <c r="U81" s="30">
        <v>-0.1143</v>
      </c>
      <c r="V81" s="30" t="s">
        <v>240</v>
      </c>
      <c r="W81" s="30">
        <v>-5.5399999999999998E-2</v>
      </c>
      <c r="X81" s="30" t="s">
        <v>54</v>
      </c>
      <c r="Y81" s="30">
        <v>5.8900000000000001E-2</v>
      </c>
      <c r="Z81" s="30" t="s">
        <v>241</v>
      </c>
      <c r="AA81" s="30">
        <v>0.1143</v>
      </c>
      <c r="AB81" s="30" t="s">
        <v>242</v>
      </c>
      <c r="AC81" s="30">
        <v>5.5399999999999998E-2</v>
      </c>
      <c r="AF81" s="13">
        <v>1</v>
      </c>
      <c r="AG81" s="13" t="s">
        <v>243</v>
      </c>
      <c r="AH81" s="13">
        <v>3.0300000000000001E-2</v>
      </c>
      <c r="AI81" s="13">
        <v>5.1400000000000001E-2</v>
      </c>
      <c r="AJ81" s="13">
        <v>5.8799999999999998E-2</v>
      </c>
      <c r="AK81" s="13">
        <v>5.04E-2</v>
      </c>
      <c r="AL81" s="13">
        <v>2.8500000000000001E-2</v>
      </c>
      <c r="AM81" s="13" t="s">
        <v>244</v>
      </c>
      <c r="AN81" s="13">
        <v>-3.0300000000000001E-2</v>
      </c>
      <c r="AO81" s="13">
        <v>-5.1400000000000001E-2</v>
      </c>
      <c r="AP81" s="13">
        <v>-5.8799999999999998E-2</v>
      </c>
      <c r="AQ81" s="13">
        <v>-5.04E-2</v>
      </c>
      <c r="AR81" s="13">
        <v>-2.8500000000000001E-2</v>
      </c>
      <c r="AU81" s="13">
        <v>1</v>
      </c>
      <c r="AV81" s="13" t="s">
        <v>243</v>
      </c>
      <c r="AW81" s="13">
        <v>2.9399999999999999E-2</v>
      </c>
      <c r="AX81" s="13">
        <v>4.99E-2</v>
      </c>
      <c r="AY81" s="13">
        <v>5.7099999999999998E-2</v>
      </c>
      <c r="AZ81" s="13">
        <v>4.8899999999999999E-2</v>
      </c>
      <c r="BA81" s="13">
        <v>2.7699999999999999E-2</v>
      </c>
      <c r="BB81" s="13" t="s">
        <v>244</v>
      </c>
      <c r="BC81" s="13">
        <v>-2.9399999999999999E-2</v>
      </c>
      <c r="BD81" s="13">
        <v>-4.99E-2</v>
      </c>
      <c r="BE81" s="13">
        <v>-5.7099999999999998E-2</v>
      </c>
      <c r="BF81" s="13">
        <v>-4.8899999999999999E-2</v>
      </c>
      <c r="BG81" s="13">
        <v>-2.7699999999999999E-2</v>
      </c>
      <c r="BJ81" s="13">
        <v>1</v>
      </c>
      <c r="BK81" s="13">
        <v>8.9999999999999998E-4</v>
      </c>
      <c r="BL81" s="13">
        <v>2.75E-2</v>
      </c>
      <c r="BM81" s="13">
        <v>4.6600000000000003E-2</v>
      </c>
      <c r="BN81" s="13">
        <v>5.33E-2</v>
      </c>
      <c r="BO81" s="13">
        <v>4.5699999999999998E-2</v>
      </c>
      <c r="BP81" s="13">
        <v>2.5899999999999999E-2</v>
      </c>
      <c r="BQ81" s="13">
        <v>-8.9999999999999998E-4</v>
      </c>
      <c r="BR81" s="13">
        <v>-2.75E-2</v>
      </c>
      <c r="BS81" s="13">
        <v>-4.6600000000000003E-2</v>
      </c>
      <c r="BT81" s="13">
        <v>-5.33E-2</v>
      </c>
      <c r="BU81" s="13">
        <v>-4.5699999999999998E-2</v>
      </c>
      <c r="BV81" s="13">
        <v>-2.5899999999999999E-2</v>
      </c>
    </row>
    <row r="82" spans="2:74" ht="16" thickBot="1" x14ac:dyDescent="0.4">
      <c r="B82" s="33">
        <v>2</v>
      </c>
      <c r="C82" s="33">
        <v>-6.4999999999999997E-3</v>
      </c>
      <c r="D82" s="33">
        <v>-9.8100000000000007E-2</v>
      </c>
      <c r="E82" s="33">
        <v>-0.16339999999999999</v>
      </c>
      <c r="F82" s="33">
        <v>-0.185</v>
      </c>
      <c r="G82" s="33" t="s">
        <v>317</v>
      </c>
      <c r="H82" s="33">
        <v>-8.6900000000000005E-2</v>
      </c>
      <c r="I82" s="33">
        <v>6.4999999999999997E-3</v>
      </c>
      <c r="J82" s="33">
        <v>9.8100000000000007E-2</v>
      </c>
      <c r="K82" s="33">
        <v>0.16339999999999999</v>
      </c>
      <c r="L82" s="33" t="s">
        <v>245</v>
      </c>
      <c r="M82" s="33" t="s">
        <v>246</v>
      </c>
      <c r="N82" s="33">
        <v>8.6900000000000005E-2</v>
      </c>
      <c r="Q82" s="30" t="s">
        <v>43</v>
      </c>
      <c r="R82" s="30" t="s">
        <v>247</v>
      </c>
      <c r="S82" s="30">
        <v>-6.0600000000000001E-2</v>
      </c>
      <c r="T82" s="30">
        <v>-0.1009</v>
      </c>
      <c r="U82" s="30">
        <v>-0.1143</v>
      </c>
      <c r="V82" s="30" t="s">
        <v>248</v>
      </c>
      <c r="W82" s="30">
        <v>-5.3699999999999998E-2</v>
      </c>
      <c r="X82" s="30" t="s">
        <v>249</v>
      </c>
      <c r="Y82" s="30">
        <v>6.0600000000000001E-2</v>
      </c>
      <c r="Z82" s="30">
        <v>0.1009</v>
      </c>
      <c r="AA82" s="30">
        <v>0.1143</v>
      </c>
      <c r="AB82" s="30" t="s">
        <v>250</v>
      </c>
      <c r="AC82" s="30">
        <v>5.3699999999999998E-2</v>
      </c>
      <c r="AF82" s="13">
        <v>2</v>
      </c>
      <c r="AG82" s="13">
        <v>2.0999999999999999E-3</v>
      </c>
      <c r="AH82" s="13">
        <v>3.1199999999999999E-2</v>
      </c>
      <c r="AI82" s="13">
        <v>5.1900000000000002E-2</v>
      </c>
      <c r="AJ82" s="13">
        <v>5.8799999999999998E-2</v>
      </c>
      <c r="AK82" s="13">
        <v>4.99E-2</v>
      </c>
      <c r="AL82" s="13">
        <v>2.76E-2</v>
      </c>
      <c r="AM82" s="13">
        <v>-2.0999999999999999E-3</v>
      </c>
      <c r="AN82" s="13">
        <v>-3.1199999999999999E-2</v>
      </c>
      <c r="AO82" s="13">
        <v>-5.1900000000000002E-2</v>
      </c>
      <c r="AP82" s="13">
        <v>-5.8799999999999998E-2</v>
      </c>
      <c r="AQ82" s="13">
        <v>-4.99E-2</v>
      </c>
      <c r="AR82" s="13">
        <v>-2.76E-2</v>
      </c>
      <c r="AU82" s="13">
        <v>2</v>
      </c>
      <c r="AV82" s="13" t="s">
        <v>54</v>
      </c>
      <c r="AW82" s="13">
        <v>3.0200000000000001E-2</v>
      </c>
      <c r="AX82" s="13">
        <v>5.04E-2</v>
      </c>
      <c r="AY82" s="13" t="s">
        <v>251</v>
      </c>
      <c r="AZ82" s="13">
        <v>4.8399999999999999E-2</v>
      </c>
      <c r="BA82" s="13">
        <v>2.6800000000000001E-2</v>
      </c>
      <c r="BB82" s="13" t="s">
        <v>55</v>
      </c>
      <c r="BC82" s="13">
        <v>-3.0200000000000001E-2</v>
      </c>
      <c r="BD82" s="13">
        <v>-5.04E-2</v>
      </c>
      <c r="BE82" s="13" t="s">
        <v>252</v>
      </c>
      <c r="BF82" s="13">
        <v>-4.8399999999999999E-2</v>
      </c>
      <c r="BG82" s="13">
        <v>-2.6800000000000001E-2</v>
      </c>
      <c r="BJ82" s="13">
        <v>2</v>
      </c>
      <c r="BK82" s="13">
        <v>1.9E-3</v>
      </c>
      <c r="BL82" s="13">
        <v>2.8299999999999999E-2</v>
      </c>
      <c r="BM82" s="13">
        <v>4.7100000000000003E-2</v>
      </c>
      <c r="BN82" s="13">
        <v>5.33E-2</v>
      </c>
      <c r="BO82" s="13">
        <v>4.5199999999999997E-2</v>
      </c>
      <c r="BP82" s="13" t="s">
        <v>253</v>
      </c>
      <c r="BQ82" s="13">
        <v>-1.9E-3</v>
      </c>
      <c r="BR82" s="13">
        <v>-2.8299999999999999E-2</v>
      </c>
      <c r="BS82" s="13">
        <v>-4.7100000000000003E-2</v>
      </c>
      <c r="BT82" s="13">
        <v>-5.33E-2</v>
      </c>
      <c r="BU82" s="13">
        <v>-4.5199999999999997E-2</v>
      </c>
      <c r="BV82" s="13" t="s">
        <v>254</v>
      </c>
    </row>
    <row r="83" spans="2:74" ht="16" thickBot="1" x14ac:dyDescent="0.4">
      <c r="B83" s="33">
        <v>3</v>
      </c>
      <c r="C83" s="33">
        <v>-9.7000000000000003E-3</v>
      </c>
      <c r="D83" s="33">
        <v>-0.1008</v>
      </c>
      <c r="E83" s="33">
        <v>-0.16489999999999999</v>
      </c>
      <c r="F83" s="33">
        <v>-0.18490000000000001</v>
      </c>
      <c r="G83" s="33">
        <v>-0.15529999999999999</v>
      </c>
      <c r="H83" s="33">
        <v>-8.4000000000000005E-2</v>
      </c>
      <c r="I83" s="33">
        <v>9.7000000000000003E-3</v>
      </c>
      <c r="J83" s="33">
        <v>0.1008</v>
      </c>
      <c r="K83" s="33">
        <v>0.16489999999999999</v>
      </c>
      <c r="L83" s="33">
        <v>0.18490000000000001</v>
      </c>
      <c r="M83" s="33">
        <v>0.15529999999999999</v>
      </c>
      <c r="N83" s="33" t="s">
        <v>255</v>
      </c>
      <c r="Q83" s="30" t="s">
        <v>44</v>
      </c>
      <c r="R83" s="30" t="s">
        <v>58</v>
      </c>
      <c r="S83" s="30">
        <v>-6.2300000000000001E-2</v>
      </c>
      <c r="T83" s="30">
        <v>-0.1019</v>
      </c>
      <c r="U83" s="30">
        <v>-0.1142</v>
      </c>
      <c r="V83" s="30">
        <v>-9.5899999999999999E-2</v>
      </c>
      <c r="W83" s="30">
        <v>-5.1900000000000002E-2</v>
      </c>
      <c r="X83" s="30" t="s">
        <v>57</v>
      </c>
      <c r="Y83" s="30">
        <v>6.2300000000000001E-2</v>
      </c>
      <c r="Z83" s="30">
        <v>0.1019</v>
      </c>
      <c r="AA83" s="30">
        <v>0.1142</v>
      </c>
      <c r="AB83" s="30">
        <v>9.5899999999999999E-2</v>
      </c>
      <c r="AC83" s="30">
        <v>5.1900000000000002E-2</v>
      </c>
      <c r="AF83" s="13">
        <v>3</v>
      </c>
      <c r="AG83" s="13">
        <v>3.0999999999999999E-3</v>
      </c>
      <c r="AH83" s="13" t="s">
        <v>256</v>
      </c>
      <c r="AI83" s="13">
        <v>5.2400000000000002E-2</v>
      </c>
      <c r="AJ83" s="13">
        <v>5.8700000000000002E-2</v>
      </c>
      <c r="AK83" s="13">
        <v>4.9299999999999997E-2</v>
      </c>
      <c r="AL83" s="13">
        <v>2.6700000000000002E-2</v>
      </c>
      <c r="AM83" s="13">
        <v>-3.0999999999999999E-3</v>
      </c>
      <c r="AN83" s="13" t="s">
        <v>257</v>
      </c>
      <c r="AO83" s="13">
        <v>-5.2400000000000002E-2</v>
      </c>
      <c r="AP83" s="13">
        <v>-5.8700000000000002E-2</v>
      </c>
      <c r="AQ83" s="13">
        <v>-4.9299999999999997E-2</v>
      </c>
      <c r="AR83" s="13">
        <v>-2.6700000000000002E-2</v>
      </c>
      <c r="AU83" s="13">
        <v>3</v>
      </c>
      <c r="AV83" s="13" t="s">
        <v>258</v>
      </c>
      <c r="AW83" s="13">
        <v>3.1099999999999999E-2</v>
      </c>
      <c r="AX83" s="13">
        <v>5.0799999999999998E-2</v>
      </c>
      <c r="AY83" s="13" t="s">
        <v>251</v>
      </c>
      <c r="AZ83" s="13">
        <v>4.7899999999999998E-2</v>
      </c>
      <c r="BA83" s="13">
        <v>2.5899999999999999E-2</v>
      </c>
      <c r="BB83" s="13" t="s">
        <v>259</v>
      </c>
      <c r="BC83" s="13">
        <v>-3.1099999999999999E-2</v>
      </c>
      <c r="BD83" s="13">
        <v>-5.0799999999999998E-2</v>
      </c>
      <c r="BE83" s="13" t="s">
        <v>252</v>
      </c>
      <c r="BF83" s="13">
        <v>-4.7899999999999998E-2</v>
      </c>
      <c r="BG83" s="13">
        <v>-2.5899999999999999E-2</v>
      </c>
      <c r="BJ83" s="13">
        <v>3</v>
      </c>
      <c r="BK83" s="13">
        <v>2.8E-3</v>
      </c>
      <c r="BL83" s="13" t="s">
        <v>260</v>
      </c>
      <c r="BM83" s="13">
        <v>4.7500000000000001E-2</v>
      </c>
      <c r="BN83" s="13">
        <v>5.3199999999999997E-2</v>
      </c>
      <c r="BO83" s="13">
        <v>4.4699999999999997E-2</v>
      </c>
      <c r="BP83" s="13">
        <v>2.4199999999999999E-2</v>
      </c>
      <c r="BQ83" s="13">
        <v>-2.8E-3</v>
      </c>
      <c r="BR83" s="13" t="s">
        <v>261</v>
      </c>
      <c r="BS83" s="13">
        <v>-4.7500000000000001E-2</v>
      </c>
      <c r="BT83" s="13">
        <v>-5.3199999999999997E-2</v>
      </c>
      <c r="BU83" s="13">
        <v>-4.4699999999999997E-2</v>
      </c>
      <c r="BV83" s="13">
        <v>-2.4199999999999999E-2</v>
      </c>
    </row>
    <row r="84" spans="2:74" ht="16" thickBot="1" x14ac:dyDescent="0.4">
      <c r="B84" s="33">
        <v>4</v>
      </c>
      <c r="C84" s="33">
        <v>-1.29E-2</v>
      </c>
      <c r="D84" s="33">
        <v>-0.10349999999999999</v>
      </c>
      <c r="E84" s="33">
        <v>-0.16639999999999999</v>
      </c>
      <c r="F84" s="33">
        <v>-0.1847</v>
      </c>
      <c r="G84" s="33">
        <v>-0.1535</v>
      </c>
      <c r="H84" s="33">
        <v>-8.1100000000000005E-2</v>
      </c>
      <c r="I84" s="33">
        <v>1.29E-2</v>
      </c>
      <c r="J84" s="33">
        <v>0.10349999999999999</v>
      </c>
      <c r="K84" s="33">
        <v>0.16639999999999999</v>
      </c>
      <c r="L84" s="33">
        <v>0.1847</v>
      </c>
      <c r="M84" s="33">
        <v>0.1535</v>
      </c>
      <c r="N84" s="33">
        <v>8.1100000000000005E-2</v>
      </c>
      <c r="Q84" s="30" t="s">
        <v>45</v>
      </c>
      <c r="R84" s="30" t="s">
        <v>262</v>
      </c>
      <c r="S84" s="30">
        <v>-6.3899999999999998E-2</v>
      </c>
      <c r="T84" s="30">
        <v>-0.1028</v>
      </c>
      <c r="U84" s="30">
        <v>-0.11409999999999999</v>
      </c>
      <c r="V84" s="30">
        <v>-9.4799999999999995E-2</v>
      </c>
      <c r="W84" s="30">
        <v>-5.0099999999999999E-2</v>
      </c>
      <c r="X84" s="30" t="s">
        <v>263</v>
      </c>
      <c r="Y84" s="30">
        <v>6.3899999999999998E-2</v>
      </c>
      <c r="Z84" s="30">
        <v>0.1028</v>
      </c>
      <c r="AA84" s="30">
        <v>0.11409999999999999</v>
      </c>
      <c r="AB84" s="30">
        <v>9.4799999999999995E-2</v>
      </c>
      <c r="AC84" s="30">
        <v>5.0099999999999999E-2</v>
      </c>
      <c r="AF84" s="13">
        <v>4</v>
      </c>
      <c r="AG84" s="13">
        <v>4.1000000000000003E-3</v>
      </c>
      <c r="AH84" s="13">
        <v>3.2899999999999999E-2</v>
      </c>
      <c r="AI84" s="13">
        <v>5.28E-2</v>
      </c>
      <c r="AJ84" s="13">
        <v>5.8599999999999999E-2</v>
      </c>
      <c r="AK84" s="13">
        <v>4.87E-2</v>
      </c>
      <c r="AL84" s="13">
        <v>2.58E-2</v>
      </c>
      <c r="AM84" s="13">
        <v>-4.1000000000000003E-3</v>
      </c>
      <c r="AN84" s="13">
        <v>-3.2899999999999999E-2</v>
      </c>
      <c r="AO84" s="13">
        <v>-5.28E-2</v>
      </c>
      <c r="AP84" s="13">
        <v>-5.8599999999999999E-2</v>
      </c>
      <c r="AQ84" s="13">
        <v>-4.87E-2</v>
      </c>
      <c r="AR84" s="13">
        <v>-2.58E-2</v>
      </c>
      <c r="AU84" s="13">
        <v>4</v>
      </c>
      <c r="AV84" s="13" t="s">
        <v>249</v>
      </c>
      <c r="AW84" s="13">
        <v>3.1899999999999998E-2</v>
      </c>
      <c r="AX84" s="13">
        <v>5.1299999999999998E-2</v>
      </c>
      <c r="AY84" s="13">
        <v>5.6899999999999999E-2</v>
      </c>
      <c r="AZ84" s="13">
        <v>4.7300000000000002E-2</v>
      </c>
      <c r="BA84" s="13" t="s">
        <v>253</v>
      </c>
      <c r="BB84" s="13" t="s">
        <v>247</v>
      </c>
      <c r="BC84" s="13">
        <v>-3.1899999999999998E-2</v>
      </c>
      <c r="BD84" s="13">
        <v>-5.1299999999999998E-2</v>
      </c>
      <c r="BE84" s="13">
        <v>-5.6899999999999999E-2</v>
      </c>
      <c r="BF84" s="13">
        <v>-4.7300000000000002E-2</v>
      </c>
      <c r="BG84" s="13" t="s">
        <v>254</v>
      </c>
      <c r="BJ84" s="13">
        <v>4</v>
      </c>
      <c r="BK84" s="13">
        <v>3.7000000000000002E-3</v>
      </c>
      <c r="BL84" s="13">
        <v>2.98E-2</v>
      </c>
      <c r="BM84" s="13">
        <v>4.7899999999999998E-2</v>
      </c>
      <c r="BN84" s="13">
        <v>5.3199999999999997E-2</v>
      </c>
      <c r="BO84" s="13">
        <v>4.4200000000000003E-2</v>
      </c>
      <c r="BP84" s="13">
        <v>2.3400000000000001E-2</v>
      </c>
      <c r="BQ84" s="13">
        <v>-3.7000000000000002E-3</v>
      </c>
      <c r="BR84" s="13">
        <v>-2.98E-2</v>
      </c>
      <c r="BS84" s="13">
        <v>-4.7899999999999998E-2</v>
      </c>
      <c r="BT84" s="13">
        <v>-5.3199999999999997E-2</v>
      </c>
      <c r="BU84" s="13">
        <v>-4.4200000000000003E-2</v>
      </c>
      <c r="BV84" s="13">
        <v>-2.3400000000000001E-2</v>
      </c>
    </row>
    <row r="85" spans="2:74" ht="16" thickBot="1" x14ac:dyDescent="0.4">
      <c r="B85" s="33">
        <v>5</v>
      </c>
      <c r="C85" s="33">
        <v>-1.61E-2</v>
      </c>
      <c r="D85" s="33">
        <v>-0.1062</v>
      </c>
      <c r="E85" s="33">
        <v>-0.1678</v>
      </c>
      <c r="F85" s="33">
        <v>-0.18440000000000001</v>
      </c>
      <c r="G85" s="33">
        <v>-0.15160000000000001</v>
      </c>
      <c r="H85" s="33">
        <v>-7.8200000000000006E-2</v>
      </c>
      <c r="I85" s="33">
        <v>1.61E-2</v>
      </c>
      <c r="J85" s="33">
        <v>0.1062</v>
      </c>
      <c r="K85" s="33">
        <v>0.1678</v>
      </c>
      <c r="L85" s="33">
        <v>0.18440000000000001</v>
      </c>
      <c r="M85" s="33">
        <v>0.15160000000000001</v>
      </c>
      <c r="N85" s="33">
        <v>7.8200000000000006E-2</v>
      </c>
      <c r="Q85" s="30" t="s">
        <v>47</v>
      </c>
      <c r="R85" s="30" t="s">
        <v>264</v>
      </c>
      <c r="S85" s="30">
        <v>-6.5600000000000006E-2</v>
      </c>
      <c r="T85" s="30">
        <v>-0.1036</v>
      </c>
      <c r="U85" s="30">
        <v>-0.1139</v>
      </c>
      <c r="V85" s="30">
        <v>-9.3700000000000006E-2</v>
      </c>
      <c r="W85" s="30">
        <v>-4.8300000000000003E-2</v>
      </c>
      <c r="X85" s="30" t="s">
        <v>265</v>
      </c>
      <c r="Y85" s="30">
        <v>6.5600000000000006E-2</v>
      </c>
      <c r="Z85" s="30">
        <v>0.1036</v>
      </c>
      <c r="AA85" s="30">
        <v>0.1139</v>
      </c>
      <c r="AB85" s="30">
        <v>9.3700000000000006E-2</v>
      </c>
      <c r="AC85" s="30">
        <v>4.8300000000000003E-2</v>
      </c>
      <c r="AF85" s="13">
        <v>5</v>
      </c>
      <c r="AG85" s="13">
        <v>5.1000000000000004E-3</v>
      </c>
      <c r="AH85" s="13">
        <v>3.3700000000000001E-2</v>
      </c>
      <c r="AI85" s="13">
        <v>5.33E-2</v>
      </c>
      <c r="AJ85" s="13">
        <v>5.8599999999999999E-2</v>
      </c>
      <c r="AK85" s="13">
        <v>4.82E-2</v>
      </c>
      <c r="AL85" s="13">
        <v>2.4799999999999999E-2</v>
      </c>
      <c r="AM85" s="13">
        <v>-5.1000000000000004E-3</v>
      </c>
      <c r="AN85" s="13">
        <v>-3.3700000000000001E-2</v>
      </c>
      <c r="AO85" s="13">
        <v>-5.33E-2</v>
      </c>
      <c r="AP85" s="13">
        <v>-5.8599999999999999E-2</v>
      </c>
      <c r="AQ85" s="13">
        <v>-4.82E-2</v>
      </c>
      <c r="AR85" s="13">
        <v>-2.4799999999999999E-2</v>
      </c>
      <c r="AU85" s="13">
        <v>5</v>
      </c>
      <c r="AV85" s="13" t="s">
        <v>65</v>
      </c>
      <c r="AW85" s="13">
        <v>3.27E-2</v>
      </c>
      <c r="AX85" s="13">
        <v>5.1700000000000003E-2</v>
      </c>
      <c r="AY85" s="13">
        <v>5.6800000000000003E-2</v>
      </c>
      <c r="AZ85" s="13">
        <v>4.6699999999999998E-2</v>
      </c>
      <c r="BA85" s="13">
        <v>2.41E-2</v>
      </c>
      <c r="BB85" s="13" t="s">
        <v>67</v>
      </c>
      <c r="BC85" s="13">
        <v>-3.27E-2</v>
      </c>
      <c r="BD85" s="13">
        <v>-5.1700000000000003E-2</v>
      </c>
      <c r="BE85" s="13">
        <v>-5.6800000000000003E-2</v>
      </c>
      <c r="BF85" s="13">
        <v>-4.6699999999999998E-2</v>
      </c>
      <c r="BG85" s="13">
        <v>-2.41E-2</v>
      </c>
      <c r="BJ85" s="13">
        <v>5</v>
      </c>
      <c r="BK85" s="13">
        <v>4.5999999999999999E-3</v>
      </c>
      <c r="BL85" s="13">
        <v>3.0599999999999999E-2</v>
      </c>
      <c r="BM85" s="13">
        <v>4.8300000000000003E-2</v>
      </c>
      <c r="BN85" s="13">
        <v>5.3100000000000001E-2</v>
      </c>
      <c r="BO85" s="13">
        <v>4.3700000000000003E-2</v>
      </c>
      <c r="BP85" s="13">
        <v>2.2499999999999999E-2</v>
      </c>
      <c r="BQ85" s="13">
        <v>-4.5999999999999999E-3</v>
      </c>
      <c r="BR85" s="13">
        <v>-3.0599999999999999E-2</v>
      </c>
      <c r="BS85" s="13">
        <v>-4.8300000000000003E-2</v>
      </c>
      <c r="BT85" s="13">
        <v>-5.3100000000000001E-2</v>
      </c>
      <c r="BU85" s="13">
        <v>-4.3700000000000003E-2</v>
      </c>
      <c r="BV85" s="13">
        <v>-2.2499999999999999E-2</v>
      </c>
    </row>
    <row r="86" spans="2:74" ht="16" thickBot="1" x14ac:dyDescent="0.4">
      <c r="B86" s="33">
        <v>6</v>
      </c>
      <c r="C86" s="33">
        <v>-1.9300000000000001E-2</v>
      </c>
      <c r="D86" s="33">
        <v>-0.10879999999999999</v>
      </c>
      <c r="E86" s="33">
        <v>-0.1691</v>
      </c>
      <c r="F86" s="33">
        <v>-0.18410000000000001</v>
      </c>
      <c r="G86" s="33">
        <v>-0.14979999999999999</v>
      </c>
      <c r="H86" s="33">
        <v>-7.5300000000000006E-2</v>
      </c>
      <c r="I86" s="33">
        <v>1.9300000000000001E-2</v>
      </c>
      <c r="J86" s="33">
        <v>0.10879999999999999</v>
      </c>
      <c r="K86" s="33">
        <v>0.1691</v>
      </c>
      <c r="L86" s="33">
        <v>0.18410000000000001</v>
      </c>
      <c r="M86" s="33">
        <v>0.14979999999999999</v>
      </c>
      <c r="N86" s="33">
        <v>7.5300000000000006E-2</v>
      </c>
      <c r="Q86" s="30" t="s">
        <v>50</v>
      </c>
      <c r="R86" s="30" t="s">
        <v>66</v>
      </c>
      <c r="S86" s="30">
        <v>-6.7199999999999996E-2</v>
      </c>
      <c r="T86" s="30">
        <v>-0.10440000000000001</v>
      </c>
      <c r="U86" s="30">
        <v>-0.1137</v>
      </c>
      <c r="V86" s="30">
        <v>-9.2499999999999999E-2</v>
      </c>
      <c r="W86" s="30">
        <v>-4.65E-2</v>
      </c>
      <c r="X86" s="30" t="s">
        <v>76</v>
      </c>
      <c r="Y86" s="30">
        <v>6.7199999999999996E-2</v>
      </c>
      <c r="Z86" s="30">
        <v>0.10440000000000001</v>
      </c>
      <c r="AA86" s="30">
        <v>0.1137</v>
      </c>
      <c r="AB86" s="30">
        <v>9.2499999999999999E-2</v>
      </c>
      <c r="AC86" s="30">
        <v>4.65E-2</v>
      </c>
      <c r="AF86" s="13">
        <v>6</v>
      </c>
      <c r="AG86" s="13">
        <v>6.1000000000000004E-3</v>
      </c>
      <c r="AH86" s="13">
        <v>3.4599999999999999E-2</v>
      </c>
      <c r="AI86" s="13">
        <v>5.3699999999999998E-2</v>
      </c>
      <c r="AJ86" s="13">
        <v>5.8500000000000003E-2</v>
      </c>
      <c r="AK86" s="13">
        <v>4.7600000000000003E-2</v>
      </c>
      <c r="AL86" s="13">
        <v>2.3900000000000001E-2</v>
      </c>
      <c r="AM86" s="13">
        <v>-6.1000000000000004E-3</v>
      </c>
      <c r="AN86" s="13">
        <v>-3.4599999999999999E-2</v>
      </c>
      <c r="AO86" s="13">
        <v>-5.3699999999999998E-2</v>
      </c>
      <c r="AP86" s="13">
        <v>-5.8500000000000003E-2</v>
      </c>
      <c r="AQ86" s="13">
        <v>-4.7600000000000003E-2</v>
      </c>
      <c r="AR86" s="13">
        <v>-2.3900000000000001E-2</v>
      </c>
      <c r="AU86" s="13">
        <v>6</v>
      </c>
      <c r="AV86" s="13" t="s">
        <v>57</v>
      </c>
      <c r="AW86" s="13">
        <v>3.3500000000000002E-2</v>
      </c>
      <c r="AX86" s="13">
        <v>5.21E-2</v>
      </c>
      <c r="AY86" s="13">
        <v>5.6800000000000003E-2</v>
      </c>
      <c r="AZ86" s="13">
        <v>4.6199999999999998E-2</v>
      </c>
      <c r="BA86" s="13">
        <v>2.3199999999999998E-2</v>
      </c>
      <c r="BB86" s="13" t="s">
        <v>58</v>
      </c>
      <c r="BC86" s="13">
        <v>-3.3500000000000002E-2</v>
      </c>
      <c r="BD86" s="13">
        <v>-5.21E-2</v>
      </c>
      <c r="BE86" s="13">
        <v>-5.6800000000000003E-2</v>
      </c>
      <c r="BF86" s="13">
        <v>-4.6199999999999998E-2</v>
      </c>
      <c r="BG86" s="13">
        <v>-2.3199999999999998E-2</v>
      </c>
      <c r="BJ86" s="13">
        <v>6</v>
      </c>
      <c r="BK86" s="13">
        <v>5.5999999999999999E-3</v>
      </c>
      <c r="BL86" s="13">
        <v>3.1300000000000001E-2</v>
      </c>
      <c r="BM86" s="13">
        <v>4.87E-2</v>
      </c>
      <c r="BN86" s="13" t="s">
        <v>266</v>
      </c>
      <c r="BO86" s="13">
        <v>4.3099999999999999E-2</v>
      </c>
      <c r="BP86" s="13">
        <v>2.1700000000000001E-2</v>
      </c>
      <c r="BQ86" s="13">
        <v>-5.5999999999999999E-3</v>
      </c>
      <c r="BR86" s="13">
        <v>-3.1300000000000001E-2</v>
      </c>
      <c r="BS86" s="13">
        <v>-4.87E-2</v>
      </c>
      <c r="BT86" s="13" t="s">
        <v>267</v>
      </c>
      <c r="BU86" s="13">
        <v>-4.3099999999999999E-2</v>
      </c>
      <c r="BV86" s="13">
        <v>-2.1700000000000001E-2</v>
      </c>
    </row>
    <row r="87" spans="2:74" ht="16" thickBot="1" x14ac:dyDescent="0.4">
      <c r="B87" s="33">
        <v>7</v>
      </c>
      <c r="C87" s="33">
        <v>-2.2599999999999999E-2</v>
      </c>
      <c r="D87" s="33">
        <v>-0.1114</v>
      </c>
      <c r="E87" s="33">
        <v>-0.1704</v>
      </c>
      <c r="F87" s="33">
        <v>-0.1837</v>
      </c>
      <c r="G87" s="33">
        <v>-0.14779999999999999</v>
      </c>
      <c r="H87" s="33">
        <v>-7.2300000000000003E-2</v>
      </c>
      <c r="I87" s="33">
        <v>2.2599999999999999E-2</v>
      </c>
      <c r="J87" s="33">
        <v>0.1114</v>
      </c>
      <c r="K87" s="33">
        <v>0.1704</v>
      </c>
      <c r="L87" s="33">
        <v>0.1837</v>
      </c>
      <c r="M87" s="33">
        <v>0.14779999999999999</v>
      </c>
      <c r="N87" s="33">
        <v>7.2300000000000003E-2</v>
      </c>
      <c r="Q87" s="30" t="s">
        <v>53</v>
      </c>
      <c r="R87" s="30">
        <v>-1.3899999999999999E-2</v>
      </c>
      <c r="S87" s="30">
        <v>-6.88E-2</v>
      </c>
      <c r="T87" s="30">
        <v>-0.1052</v>
      </c>
      <c r="U87" s="30">
        <v>-0.1135</v>
      </c>
      <c r="V87" s="30">
        <v>-9.1300000000000006E-2</v>
      </c>
      <c r="W87" s="30">
        <v>-4.4699999999999997E-2</v>
      </c>
      <c r="X87" s="30">
        <v>1.3899999999999999E-2</v>
      </c>
      <c r="Y87" s="30">
        <v>6.88E-2</v>
      </c>
      <c r="Z87" s="30">
        <v>0.1052</v>
      </c>
      <c r="AA87" s="30">
        <v>0.1135</v>
      </c>
      <c r="AB87" s="30">
        <v>9.1300000000000006E-2</v>
      </c>
      <c r="AC87" s="30">
        <v>4.4699999999999997E-2</v>
      </c>
      <c r="AF87" s="13">
        <v>7</v>
      </c>
      <c r="AG87" s="13">
        <v>7.1999999999999998E-3</v>
      </c>
      <c r="AH87" s="13">
        <v>3.5400000000000001E-2</v>
      </c>
      <c r="AI87" s="13">
        <v>5.4100000000000002E-2</v>
      </c>
      <c r="AJ87" s="13">
        <v>5.8400000000000001E-2</v>
      </c>
      <c r="AK87" s="13" t="s">
        <v>268</v>
      </c>
      <c r="AL87" s="13">
        <v>2.3E-2</v>
      </c>
      <c r="AM87" s="13">
        <v>-7.1999999999999998E-3</v>
      </c>
      <c r="AN87" s="13">
        <v>-3.5400000000000001E-2</v>
      </c>
      <c r="AO87" s="13">
        <v>-5.4100000000000002E-2</v>
      </c>
      <c r="AP87" s="13">
        <v>-5.8400000000000001E-2</v>
      </c>
      <c r="AQ87" s="13" t="s">
        <v>269</v>
      </c>
      <c r="AR87" s="13" t="s">
        <v>270</v>
      </c>
      <c r="AU87" s="13">
        <v>7</v>
      </c>
      <c r="AV87" s="13" t="s">
        <v>271</v>
      </c>
      <c r="AW87" s="13">
        <v>3.4299999999999997E-2</v>
      </c>
      <c r="AX87" s="13">
        <v>5.2499999999999998E-2</v>
      </c>
      <c r="AY87" s="13">
        <v>5.6599999999999998E-2</v>
      </c>
      <c r="AZ87" s="13">
        <v>4.5600000000000002E-2</v>
      </c>
      <c r="BA87" s="13">
        <v>2.23E-2</v>
      </c>
      <c r="BB87" s="13" t="s">
        <v>272</v>
      </c>
      <c r="BC87" s="13">
        <v>-3.4299999999999997E-2</v>
      </c>
      <c r="BD87" s="13">
        <v>-5.2499999999999998E-2</v>
      </c>
      <c r="BE87" s="13">
        <v>-5.6599999999999998E-2</v>
      </c>
      <c r="BF87" s="13">
        <v>-4.5600000000000002E-2</v>
      </c>
      <c r="BG87" s="13">
        <v>-2.23E-2</v>
      </c>
      <c r="BJ87" s="13">
        <v>7</v>
      </c>
      <c r="BK87" s="13">
        <v>6.4999999999999997E-3</v>
      </c>
      <c r="BL87" s="13">
        <v>3.2099999999999997E-2</v>
      </c>
      <c r="BM87" s="13">
        <v>4.9099999999999998E-2</v>
      </c>
      <c r="BN87" s="13">
        <v>5.2900000000000003E-2</v>
      </c>
      <c r="BO87" s="13">
        <v>4.2599999999999999E-2</v>
      </c>
      <c r="BP87" s="13">
        <v>2.0799999999999999E-2</v>
      </c>
      <c r="BQ87" s="13">
        <v>-6.4999999999999997E-3</v>
      </c>
      <c r="BR87" s="13">
        <v>-3.2099999999999997E-2</v>
      </c>
      <c r="BS87" s="13">
        <v>-4.9099999999999998E-2</v>
      </c>
      <c r="BT87" s="13">
        <v>-5.2900000000000003E-2</v>
      </c>
      <c r="BU87" s="13">
        <v>-4.2599999999999999E-2</v>
      </c>
      <c r="BV87" s="13">
        <v>-2.0799999999999999E-2</v>
      </c>
    </row>
    <row r="88" spans="2:74" ht="16" thickBot="1" x14ac:dyDescent="0.4">
      <c r="B88" s="33">
        <v>8</v>
      </c>
      <c r="C88" s="33">
        <v>-2.58E-2</v>
      </c>
      <c r="D88" s="33">
        <v>-0.114</v>
      </c>
      <c r="E88" s="33">
        <v>-0.1716</v>
      </c>
      <c r="F88" s="33">
        <v>-0.18329999999999999</v>
      </c>
      <c r="G88" s="33">
        <v>-0.1459</v>
      </c>
      <c r="H88" s="33">
        <v>-6.93E-2</v>
      </c>
      <c r="I88" s="33">
        <v>2.58E-2</v>
      </c>
      <c r="J88" s="33" t="s">
        <v>314</v>
      </c>
      <c r="K88" s="33">
        <v>0.1716</v>
      </c>
      <c r="L88" s="33">
        <v>0.18329999999999999</v>
      </c>
      <c r="M88" s="33">
        <v>0.1459</v>
      </c>
      <c r="N88" s="33">
        <v>6.93E-2</v>
      </c>
      <c r="Q88" s="30" t="s">
        <v>56</v>
      </c>
      <c r="R88" s="30">
        <v>-1.5900000000000001E-2</v>
      </c>
      <c r="S88" s="30">
        <v>-7.0400000000000004E-2</v>
      </c>
      <c r="T88" s="30" t="s">
        <v>273</v>
      </c>
      <c r="U88" s="30">
        <v>-0.1132</v>
      </c>
      <c r="V88" s="30">
        <v>-9.01E-2</v>
      </c>
      <c r="W88" s="30">
        <v>-4.2799999999999998E-2</v>
      </c>
      <c r="X88" s="30">
        <v>1.5900000000000001E-2</v>
      </c>
      <c r="Y88" s="30">
        <v>7.0400000000000004E-2</v>
      </c>
      <c r="Z88" s="30" t="s">
        <v>274</v>
      </c>
      <c r="AA88" s="30">
        <v>0.1132</v>
      </c>
      <c r="AB88" s="30">
        <v>9.01E-2</v>
      </c>
      <c r="AC88" s="30">
        <v>4.2799999999999998E-2</v>
      </c>
      <c r="AF88" s="13">
        <v>8</v>
      </c>
      <c r="AG88" s="13">
        <v>8.2000000000000007E-3</v>
      </c>
      <c r="AH88" s="13">
        <v>3.6200000000000003E-2</v>
      </c>
      <c r="AI88" s="13">
        <v>5.45E-2</v>
      </c>
      <c r="AJ88" s="13">
        <v>5.8200000000000002E-2</v>
      </c>
      <c r="AK88" s="13">
        <v>4.6300000000000001E-2</v>
      </c>
      <c r="AL88" s="13">
        <v>2.1999999999999999E-2</v>
      </c>
      <c r="AM88" s="13">
        <v>-8.2000000000000007E-3</v>
      </c>
      <c r="AN88" s="13">
        <v>-3.6200000000000003E-2</v>
      </c>
      <c r="AO88" s="13">
        <v>-5.45E-2</v>
      </c>
      <c r="AP88" s="13">
        <v>-5.8200000000000002E-2</v>
      </c>
      <c r="AQ88" s="13">
        <v>-4.6300000000000001E-2</v>
      </c>
      <c r="AR88" s="13" t="s">
        <v>275</v>
      </c>
      <c r="AU88" s="13">
        <v>8</v>
      </c>
      <c r="AV88" s="13">
        <v>7.9000000000000008E-3</v>
      </c>
      <c r="AW88" s="13">
        <v>3.5099999999999999E-2</v>
      </c>
      <c r="AX88" s="13">
        <v>5.2900000000000003E-2</v>
      </c>
      <c r="AY88" s="13">
        <v>5.6500000000000002E-2</v>
      </c>
      <c r="AZ88" s="13" t="s">
        <v>276</v>
      </c>
      <c r="BA88" s="13">
        <v>2.1399999999999999E-2</v>
      </c>
      <c r="BB88" s="13">
        <v>-7.9000000000000008E-3</v>
      </c>
      <c r="BC88" s="13">
        <v>-3.5099999999999999E-2</v>
      </c>
      <c r="BD88" s="13">
        <v>-5.2900000000000003E-2</v>
      </c>
      <c r="BE88" s="13">
        <v>-5.6500000000000002E-2</v>
      </c>
      <c r="BF88" s="13" t="s">
        <v>277</v>
      </c>
      <c r="BG88" s="13">
        <v>-2.1399999999999999E-2</v>
      </c>
      <c r="BJ88" s="13">
        <v>8</v>
      </c>
      <c r="BK88" s="13">
        <v>7.4000000000000003E-3</v>
      </c>
      <c r="BL88" s="13">
        <v>3.2800000000000003E-2</v>
      </c>
      <c r="BM88" s="13">
        <v>4.9399999999999999E-2</v>
      </c>
      <c r="BN88" s="13">
        <v>5.28E-2</v>
      </c>
      <c r="BO88" s="13" t="s">
        <v>278</v>
      </c>
      <c r="BP88" s="13" t="s">
        <v>279</v>
      </c>
      <c r="BQ88" s="13">
        <v>-7.4000000000000003E-3</v>
      </c>
      <c r="BR88" s="13">
        <v>-3.2800000000000003E-2</v>
      </c>
      <c r="BS88" s="13">
        <v>-4.9399999999999999E-2</v>
      </c>
      <c r="BT88" s="13">
        <v>-5.28E-2</v>
      </c>
      <c r="BU88" s="13" t="s">
        <v>280</v>
      </c>
      <c r="BV88" s="13" t="s">
        <v>281</v>
      </c>
    </row>
    <row r="89" spans="2:74" ht="16" thickBot="1" x14ac:dyDescent="0.4">
      <c r="B89" s="33">
        <v>9</v>
      </c>
      <c r="C89" s="33" t="s">
        <v>261</v>
      </c>
      <c r="D89" s="33">
        <v>-0.11650000000000001</v>
      </c>
      <c r="E89" s="33">
        <v>-0.17280000000000001</v>
      </c>
      <c r="F89" s="33">
        <v>-0.18279999999999999</v>
      </c>
      <c r="G89" s="33">
        <v>-0.1439</v>
      </c>
      <c r="H89" s="33">
        <v>-6.6299999999999998E-2</v>
      </c>
      <c r="I89" s="33" t="s">
        <v>260</v>
      </c>
      <c r="J89" s="33">
        <v>0.11650000000000001</v>
      </c>
      <c r="K89" s="33">
        <v>0.17280000000000001</v>
      </c>
      <c r="L89" s="33">
        <v>0.18279999999999999</v>
      </c>
      <c r="M89" s="33">
        <v>0.1439</v>
      </c>
      <c r="N89" s="33">
        <v>6.6299999999999998E-2</v>
      </c>
      <c r="Q89" s="30" t="s">
        <v>59</v>
      </c>
      <c r="R89" s="30">
        <v>-1.7899999999999999E-2</v>
      </c>
      <c r="S89" s="30" t="s">
        <v>282</v>
      </c>
      <c r="T89" s="30">
        <v>-0.1067</v>
      </c>
      <c r="U89" s="30">
        <v>-0.1129</v>
      </c>
      <c r="V89" s="30">
        <v>-8.8900000000000007E-2</v>
      </c>
      <c r="W89" s="30" t="s">
        <v>283</v>
      </c>
      <c r="X89" s="30">
        <v>1.7899999999999999E-2</v>
      </c>
      <c r="Y89" s="30" t="s">
        <v>284</v>
      </c>
      <c r="Z89" s="30">
        <v>0.1067</v>
      </c>
      <c r="AA89" s="30">
        <v>0.1129</v>
      </c>
      <c r="AB89" s="30">
        <v>8.8900000000000007E-2</v>
      </c>
      <c r="AC89" s="30" t="s">
        <v>285</v>
      </c>
      <c r="AF89" s="13">
        <v>9</v>
      </c>
      <c r="AG89" s="13">
        <v>9.1999999999999998E-3</v>
      </c>
      <c r="AH89" s="13" t="s">
        <v>286</v>
      </c>
      <c r="AI89" s="13">
        <v>5.4899999999999997E-2</v>
      </c>
      <c r="AJ89" s="13">
        <v>5.8099999999999999E-2</v>
      </c>
      <c r="AK89" s="13">
        <v>4.5699999999999998E-2</v>
      </c>
      <c r="AL89" s="13">
        <v>2.1100000000000001E-2</v>
      </c>
      <c r="AM89" s="13">
        <v>-9.1999999999999998E-3</v>
      </c>
      <c r="AN89" s="13" t="s">
        <v>287</v>
      </c>
      <c r="AO89" s="13">
        <v>-5.4899999999999997E-2</v>
      </c>
      <c r="AP89" s="13">
        <v>-5.8099999999999999E-2</v>
      </c>
      <c r="AQ89" s="13">
        <v>-4.5699999999999998E-2</v>
      </c>
      <c r="AR89" s="13">
        <v>-2.1100000000000001E-2</v>
      </c>
      <c r="AU89" s="13">
        <v>9</v>
      </c>
      <c r="AV89" s="13">
        <v>8.8999999999999999E-3</v>
      </c>
      <c r="AW89" s="13">
        <v>3.5900000000000001E-2</v>
      </c>
      <c r="AX89" s="13">
        <v>5.33E-2</v>
      </c>
      <c r="AY89" s="13">
        <v>5.6399999999999999E-2</v>
      </c>
      <c r="AZ89" s="13">
        <v>4.4299999999999999E-2</v>
      </c>
      <c r="BA89" s="13">
        <v>2.0500000000000001E-2</v>
      </c>
      <c r="BB89" s="13">
        <v>-8.8999999999999999E-3</v>
      </c>
      <c r="BC89" s="13">
        <v>-3.5900000000000001E-2</v>
      </c>
      <c r="BD89" s="13">
        <v>-5.33E-2</v>
      </c>
      <c r="BE89" s="13">
        <v>-5.6399999999999999E-2</v>
      </c>
      <c r="BF89" s="13">
        <v>-4.4299999999999999E-2</v>
      </c>
      <c r="BG89" s="13">
        <v>-2.0500000000000001E-2</v>
      </c>
      <c r="BJ89" s="13">
        <v>9</v>
      </c>
      <c r="BK89" s="13">
        <v>8.3000000000000001E-3</v>
      </c>
      <c r="BL89" s="13">
        <v>3.3599999999999998E-2</v>
      </c>
      <c r="BM89" s="13">
        <v>4.9799999999999997E-2</v>
      </c>
      <c r="BN89" s="13">
        <v>5.2699999999999997E-2</v>
      </c>
      <c r="BO89" s="13">
        <v>4.1399999999999999E-2</v>
      </c>
      <c r="BP89" s="13">
        <v>1.9099999999999999E-2</v>
      </c>
      <c r="BQ89" s="13">
        <v>-8.3000000000000001E-3</v>
      </c>
      <c r="BR89" s="13">
        <v>-3.3599999999999998E-2</v>
      </c>
      <c r="BS89" s="13">
        <v>-4.9799999999999997E-2</v>
      </c>
      <c r="BT89" s="13">
        <v>-5.2699999999999997E-2</v>
      </c>
      <c r="BU89" s="13">
        <v>-4.1399999999999999E-2</v>
      </c>
      <c r="BV89" s="13">
        <v>-1.9099999999999999E-2</v>
      </c>
    </row>
    <row r="90" spans="2:74" ht="16" thickBot="1" x14ac:dyDescent="0.4">
      <c r="B90" s="33">
        <v>10</v>
      </c>
      <c r="C90" s="33">
        <v>-3.2099999999999997E-2</v>
      </c>
      <c r="D90" s="33">
        <v>-0.11899999999999999</v>
      </c>
      <c r="E90" s="33" t="s">
        <v>318</v>
      </c>
      <c r="F90" s="33">
        <v>-0.18229999999999999</v>
      </c>
      <c r="G90" s="33">
        <v>-0.14180000000000001</v>
      </c>
      <c r="H90" s="33">
        <v>-6.3299999999999995E-2</v>
      </c>
      <c r="I90" s="33">
        <v>3.2099999999999997E-2</v>
      </c>
      <c r="J90" s="33" t="s">
        <v>288</v>
      </c>
      <c r="K90" s="33" t="s">
        <v>289</v>
      </c>
      <c r="L90" s="33">
        <v>0.18229999999999999</v>
      </c>
      <c r="M90" s="33">
        <v>0.14180000000000001</v>
      </c>
      <c r="N90" s="33">
        <v>6.3299999999999995E-2</v>
      </c>
      <c r="Q90" s="30" t="s">
        <v>62</v>
      </c>
      <c r="R90" s="30">
        <v>-1.9900000000000001E-2</v>
      </c>
      <c r="S90" s="30">
        <v>-7.3499999999999996E-2</v>
      </c>
      <c r="T90" s="30">
        <v>-0.1074</v>
      </c>
      <c r="U90" s="30">
        <v>-0.11260000000000001</v>
      </c>
      <c r="V90" s="30">
        <v>-8.7599999999999997E-2</v>
      </c>
      <c r="W90" s="30">
        <v>-3.9100000000000003E-2</v>
      </c>
      <c r="X90" s="30">
        <v>1.9900000000000001E-2</v>
      </c>
      <c r="Y90" s="30">
        <v>7.3499999999999996E-2</v>
      </c>
      <c r="Z90" s="30">
        <v>0.1074</v>
      </c>
      <c r="AA90" s="30">
        <v>0.11260000000000001</v>
      </c>
      <c r="AB90" s="30">
        <v>8.7599999999999997E-2</v>
      </c>
      <c r="AC90" s="30">
        <v>3.9100000000000003E-2</v>
      </c>
      <c r="AF90" s="13">
        <v>10</v>
      </c>
      <c r="AG90" s="13">
        <v>1.0200000000000001E-2</v>
      </c>
      <c r="AH90" s="13">
        <v>3.78E-2</v>
      </c>
      <c r="AI90" s="13">
        <v>5.5199999999999999E-2</v>
      </c>
      <c r="AJ90" s="13">
        <v>5.79E-2</v>
      </c>
      <c r="AK90" s="13" t="s">
        <v>276</v>
      </c>
      <c r="AL90" s="13">
        <v>2.01E-2</v>
      </c>
      <c r="AM90" s="13">
        <v>-1.0200000000000001E-2</v>
      </c>
      <c r="AN90" s="13">
        <v>-3.78E-2</v>
      </c>
      <c r="AO90" s="13">
        <v>-5.5199999999999999E-2</v>
      </c>
      <c r="AP90" s="13">
        <v>-5.79E-2</v>
      </c>
      <c r="AQ90" s="13" t="s">
        <v>277</v>
      </c>
      <c r="AR90" s="13">
        <v>-2.01E-2</v>
      </c>
      <c r="AU90" s="13">
        <v>10</v>
      </c>
      <c r="AV90" s="13">
        <v>9.9000000000000008E-3</v>
      </c>
      <c r="AW90" s="13">
        <v>3.6700000000000003E-2</v>
      </c>
      <c r="AX90" s="13">
        <v>5.3600000000000002E-2</v>
      </c>
      <c r="AY90" s="13">
        <v>5.62E-2</v>
      </c>
      <c r="AZ90" s="13">
        <v>4.3700000000000003E-2</v>
      </c>
      <c r="BA90" s="13">
        <v>1.95E-2</v>
      </c>
      <c r="BB90" s="13">
        <v>-9.9000000000000008E-3</v>
      </c>
      <c r="BC90" s="13">
        <v>-3.6700000000000003E-2</v>
      </c>
      <c r="BD90" s="13">
        <v>-5.3600000000000002E-2</v>
      </c>
      <c r="BE90" s="13">
        <v>-5.62E-2</v>
      </c>
      <c r="BF90" s="13">
        <v>-4.3700000000000003E-2</v>
      </c>
      <c r="BG90" s="13">
        <v>-1.95E-2</v>
      </c>
      <c r="BJ90" s="13">
        <v>10</v>
      </c>
      <c r="BK90" s="13">
        <v>9.2999999999999992E-3</v>
      </c>
      <c r="BL90" s="13">
        <v>3.4299999999999997E-2</v>
      </c>
      <c r="BM90" s="13">
        <v>5.0099999999999999E-2</v>
      </c>
      <c r="BN90" s="13">
        <v>5.2499999999999998E-2</v>
      </c>
      <c r="BO90" s="13">
        <v>4.0800000000000003E-2</v>
      </c>
      <c r="BP90" s="13">
        <v>1.8200000000000001E-2</v>
      </c>
      <c r="BQ90" s="13">
        <v>-9.2999999999999992E-3</v>
      </c>
      <c r="BR90" s="13">
        <v>-3.4299999999999997E-2</v>
      </c>
      <c r="BS90" s="13">
        <v>-5.0099999999999999E-2</v>
      </c>
      <c r="BT90" s="13">
        <v>-5.2499999999999998E-2</v>
      </c>
      <c r="BU90" s="13">
        <v>-4.0800000000000003E-2</v>
      </c>
      <c r="BV90" s="13">
        <v>-1.8200000000000001E-2</v>
      </c>
    </row>
    <row r="91" spans="2:74" ht="16" thickBot="1" x14ac:dyDescent="0.4">
      <c r="B91" s="33">
        <v>11</v>
      </c>
      <c r="C91" s="33">
        <v>-3.5299999999999998E-2</v>
      </c>
      <c r="D91" s="33">
        <v>-0.12139999999999999</v>
      </c>
      <c r="E91" s="33" t="s">
        <v>319</v>
      </c>
      <c r="F91" s="33">
        <v>-0.1817</v>
      </c>
      <c r="G91" s="33">
        <v>-0.13969999999999999</v>
      </c>
      <c r="H91" s="33">
        <v>-6.0299999999999999E-2</v>
      </c>
      <c r="I91" s="33">
        <v>3.5299999999999998E-2</v>
      </c>
      <c r="J91" s="33">
        <v>0.12139999999999999</v>
      </c>
      <c r="K91" s="33" t="s">
        <v>290</v>
      </c>
      <c r="L91" s="33">
        <v>0.1817</v>
      </c>
      <c r="M91" s="33">
        <v>0.13969999999999999</v>
      </c>
      <c r="N91" s="33">
        <v>6.0299999999999999E-2</v>
      </c>
      <c r="Q91" s="30" t="s">
        <v>63</v>
      </c>
      <c r="R91" s="30">
        <v>-2.18E-2</v>
      </c>
      <c r="S91" s="30" t="s">
        <v>291</v>
      </c>
      <c r="T91" s="30">
        <v>-0.1081</v>
      </c>
      <c r="U91" s="30">
        <v>-0.11219999999999999</v>
      </c>
      <c r="V91" s="30">
        <v>-8.6300000000000002E-2</v>
      </c>
      <c r="W91" s="30">
        <v>-3.7199999999999997E-2</v>
      </c>
      <c r="X91" s="30">
        <v>2.18E-2</v>
      </c>
      <c r="Y91" s="30" t="s">
        <v>292</v>
      </c>
      <c r="Z91" s="30">
        <v>0.1081</v>
      </c>
      <c r="AA91" s="30">
        <v>0.11219999999999999</v>
      </c>
      <c r="AB91" s="30">
        <v>8.6300000000000002E-2</v>
      </c>
      <c r="AC91" s="30">
        <v>3.7199999999999997E-2</v>
      </c>
      <c r="AF91" s="13">
        <v>11</v>
      </c>
      <c r="AG91" s="13">
        <v>1.12E-2</v>
      </c>
      <c r="AH91" s="13">
        <v>3.8600000000000002E-2</v>
      </c>
      <c r="AI91" s="13">
        <v>5.5599999999999997E-2</v>
      </c>
      <c r="AJ91" s="13">
        <v>5.7700000000000001E-2</v>
      </c>
      <c r="AK91" s="13">
        <v>4.4400000000000002E-2</v>
      </c>
      <c r="AL91" s="13">
        <v>1.9099999999999999E-2</v>
      </c>
      <c r="AM91" s="13">
        <v>-1.12E-2</v>
      </c>
      <c r="AN91" s="13">
        <v>-3.8600000000000002E-2</v>
      </c>
      <c r="AO91" s="13">
        <v>-5.5599999999999997E-2</v>
      </c>
      <c r="AP91" s="13">
        <v>-5.7700000000000001E-2</v>
      </c>
      <c r="AQ91" s="13">
        <v>-4.4400000000000002E-2</v>
      </c>
      <c r="AR91" s="13">
        <v>-1.9099999999999999E-2</v>
      </c>
      <c r="AU91" s="13">
        <v>11</v>
      </c>
      <c r="AV91" s="13">
        <v>1.09E-2</v>
      </c>
      <c r="AW91" s="13">
        <v>3.7400000000000003E-2</v>
      </c>
      <c r="AX91" s="13" t="s">
        <v>293</v>
      </c>
      <c r="AY91" s="13" t="s">
        <v>294</v>
      </c>
      <c r="AZ91" s="13">
        <v>4.3099999999999999E-2</v>
      </c>
      <c r="BA91" s="13">
        <v>1.8599999999999998E-2</v>
      </c>
      <c r="BB91" s="13">
        <v>-1.09E-2</v>
      </c>
      <c r="BC91" s="13">
        <v>-3.7400000000000003E-2</v>
      </c>
      <c r="BD91" s="13" t="s">
        <v>295</v>
      </c>
      <c r="BE91" s="13" t="s">
        <v>296</v>
      </c>
      <c r="BF91" s="13">
        <v>-4.3099999999999999E-2</v>
      </c>
      <c r="BG91" s="13">
        <v>-1.8599999999999998E-2</v>
      </c>
      <c r="BJ91" s="13">
        <v>11</v>
      </c>
      <c r="BK91" s="13">
        <v>1.0200000000000001E-2</v>
      </c>
      <c r="BL91" s="13" t="s">
        <v>297</v>
      </c>
      <c r="BM91" s="13">
        <v>5.04E-2</v>
      </c>
      <c r="BN91" s="13">
        <v>5.2299999999999999E-2</v>
      </c>
      <c r="BO91" s="13">
        <v>4.02E-2</v>
      </c>
      <c r="BP91" s="13">
        <v>1.7399999999999999E-2</v>
      </c>
      <c r="BQ91" s="13">
        <v>-1.0200000000000001E-2</v>
      </c>
      <c r="BR91" s="13" t="s">
        <v>298</v>
      </c>
      <c r="BS91" s="13">
        <v>-5.04E-2</v>
      </c>
      <c r="BT91" s="13">
        <v>-5.2299999999999999E-2</v>
      </c>
      <c r="BU91" s="13">
        <v>-4.02E-2</v>
      </c>
      <c r="BV91" s="13">
        <v>-1.7399999999999999E-2</v>
      </c>
    </row>
    <row r="92" spans="2:74" ht="16" thickBot="1" x14ac:dyDescent="0.4">
      <c r="B92" s="33">
        <v>12</v>
      </c>
      <c r="C92" s="33">
        <v>-3.85E-2</v>
      </c>
      <c r="D92" s="33">
        <v>-0.1239</v>
      </c>
      <c r="E92" s="33">
        <v>-0.17610000000000001</v>
      </c>
      <c r="F92" s="33">
        <v>-0.18110000000000001</v>
      </c>
      <c r="G92" s="33">
        <v>-0.1376</v>
      </c>
      <c r="H92" s="33">
        <v>-5.7200000000000001E-2</v>
      </c>
      <c r="I92" s="33">
        <v>3.85E-2</v>
      </c>
      <c r="J92" s="33">
        <v>0.1239</v>
      </c>
      <c r="K92" s="33">
        <v>0.17610000000000001</v>
      </c>
      <c r="L92" s="33">
        <v>0.18110000000000001</v>
      </c>
      <c r="M92" s="33">
        <v>0.1376</v>
      </c>
      <c r="N92" s="33">
        <v>5.7200000000000001E-2</v>
      </c>
      <c r="Q92" s="30" t="s">
        <v>64</v>
      </c>
      <c r="R92" s="30">
        <v>-2.3800000000000002E-2</v>
      </c>
      <c r="S92" s="30">
        <v>-7.6499999999999999E-2</v>
      </c>
      <c r="T92" s="30">
        <v>-0.1087</v>
      </c>
      <c r="U92" s="30">
        <v>-0.1118</v>
      </c>
      <c r="V92" s="30" t="s">
        <v>299</v>
      </c>
      <c r="W92" s="30">
        <v>-3.5299999999999998E-2</v>
      </c>
      <c r="X92" s="30">
        <v>2.3800000000000002E-2</v>
      </c>
      <c r="Y92" s="30">
        <v>7.6499999999999999E-2</v>
      </c>
      <c r="Z92" s="30">
        <v>0.1087</v>
      </c>
      <c r="AA92" s="30">
        <v>0.1118</v>
      </c>
      <c r="AB92" s="30" t="s">
        <v>300</v>
      </c>
      <c r="AC92" s="30">
        <v>3.5299999999999998E-2</v>
      </c>
      <c r="AF92" s="13">
        <v>12</v>
      </c>
      <c r="AG92" s="13">
        <v>1.2200000000000001E-2</v>
      </c>
      <c r="AH92" s="13">
        <v>3.9300000000000002E-2</v>
      </c>
      <c r="AI92" s="13">
        <v>5.5899999999999998E-2</v>
      </c>
      <c r="AJ92" s="13">
        <v>5.7500000000000002E-2</v>
      </c>
      <c r="AK92" s="13">
        <v>4.3700000000000003E-2</v>
      </c>
      <c r="AL92" s="13">
        <v>1.8200000000000001E-2</v>
      </c>
      <c r="AM92" s="13">
        <v>-1.2200000000000001E-2</v>
      </c>
      <c r="AN92" s="13">
        <v>-3.9300000000000002E-2</v>
      </c>
      <c r="AO92" s="13">
        <v>-5.5899999999999998E-2</v>
      </c>
      <c r="AP92" s="13">
        <v>-5.7500000000000002E-2</v>
      </c>
      <c r="AQ92" s="13">
        <v>-4.3700000000000003E-2</v>
      </c>
      <c r="AR92" s="13">
        <v>-1.8200000000000001E-2</v>
      </c>
      <c r="AU92" s="13">
        <v>12</v>
      </c>
      <c r="AV92" s="13">
        <v>1.1900000000000001E-2</v>
      </c>
      <c r="AW92" s="13">
        <v>3.8199999999999998E-2</v>
      </c>
      <c r="AX92" s="13">
        <v>5.4300000000000001E-2</v>
      </c>
      <c r="AY92" s="13">
        <v>5.5800000000000002E-2</v>
      </c>
      <c r="AZ92" s="13">
        <v>4.24E-2</v>
      </c>
      <c r="BA92" s="13">
        <v>1.7600000000000001E-2</v>
      </c>
      <c r="BB92" s="13">
        <v>-1.1900000000000001E-2</v>
      </c>
      <c r="BC92" s="13">
        <v>-3.8199999999999998E-2</v>
      </c>
      <c r="BD92" s="13">
        <v>-5.4300000000000001E-2</v>
      </c>
      <c r="BE92" s="13">
        <v>-5.5800000000000002E-2</v>
      </c>
      <c r="BF92" s="13">
        <v>-4.24E-2</v>
      </c>
      <c r="BG92" s="13">
        <v>-1.7600000000000001E-2</v>
      </c>
      <c r="BJ92" s="13">
        <v>12</v>
      </c>
      <c r="BK92" s="13">
        <v>1.11E-2</v>
      </c>
      <c r="BL92" s="13">
        <v>3.5700000000000003E-2</v>
      </c>
      <c r="BM92" s="13">
        <v>5.0700000000000002E-2</v>
      </c>
      <c r="BN92" s="13">
        <v>5.2200000000000003E-2</v>
      </c>
      <c r="BO92" s="13">
        <v>3.9600000000000003E-2</v>
      </c>
      <c r="BP92" s="13">
        <v>1.6500000000000001E-2</v>
      </c>
      <c r="BQ92" s="13">
        <v>-1.11E-2</v>
      </c>
      <c r="BR92" s="13">
        <v>-3.5700000000000003E-2</v>
      </c>
      <c r="BS92" s="13">
        <v>-5.0700000000000002E-2</v>
      </c>
      <c r="BT92" s="13">
        <v>-5.2200000000000003E-2</v>
      </c>
      <c r="BU92" s="13">
        <v>-3.9600000000000003E-2</v>
      </c>
      <c r="BV92" s="13">
        <v>-1.6500000000000001E-2</v>
      </c>
    </row>
    <row r="93" spans="2:74" ht="16" thickBot="1" x14ac:dyDescent="0.4">
      <c r="B93" s="33">
        <v>13</v>
      </c>
      <c r="C93" s="33">
        <v>-4.1599999999999998E-2</v>
      </c>
      <c r="D93" s="33">
        <v>-0.12620000000000001</v>
      </c>
      <c r="E93" s="33" t="s">
        <v>320</v>
      </c>
      <c r="F93" s="33">
        <v>-0.1804</v>
      </c>
      <c r="G93" s="33">
        <v>-0.13539999999999999</v>
      </c>
      <c r="H93" s="33">
        <v>-5.4100000000000002E-2</v>
      </c>
      <c r="I93" s="33">
        <v>4.1599999999999998E-2</v>
      </c>
      <c r="J93" s="33">
        <v>0.12620000000000001</v>
      </c>
      <c r="K93" s="33" t="s">
        <v>301</v>
      </c>
      <c r="L93" s="33">
        <v>0.1804</v>
      </c>
      <c r="M93" s="33">
        <v>0.13539999999999999</v>
      </c>
      <c r="N93" s="33">
        <v>5.4100000000000002E-2</v>
      </c>
      <c r="Q93" s="30" t="s">
        <v>68</v>
      </c>
      <c r="R93" s="30">
        <v>-2.5700000000000001E-2</v>
      </c>
      <c r="S93" s="30" t="s">
        <v>302</v>
      </c>
      <c r="T93" s="30">
        <v>-0.10929999999999999</v>
      </c>
      <c r="U93" s="30">
        <v>-0.1114</v>
      </c>
      <c r="V93" s="30">
        <v>-8.3599999999999994E-2</v>
      </c>
      <c r="W93" s="30">
        <v>-3.3399999999999999E-2</v>
      </c>
      <c r="X93" s="30">
        <v>2.5700000000000001E-2</v>
      </c>
      <c r="Y93" s="30" t="s">
        <v>303</v>
      </c>
      <c r="Z93" s="30">
        <v>0.10929999999999999</v>
      </c>
      <c r="AA93" s="30">
        <v>0.1114</v>
      </c>
      <c r="AB93" s="30">
        <v>8.3599999999999994E-2</v>
      </c>
      <c r="AC93" s="30">
        <v>3.3399999999999999E-2</v>
      </c>
      <c r="AF93" s="13">
        <v>13</v>
      </c>
      <c r="AG93" s="13">
        <v>1.32E-2</v>
      </c>
      <c r="AH93" s="13">
        <v>4.0099999999999997E-2</v>
      </c>
      <c r="AI93" s="13">
        <v>5.62E-2</v>
      </c>
      <c r="AJ93" s="13">
        <v>5.7299999999999997E-2</v>
      </c>
      <c r="AK93" s="13" t="s">
        <v>304</v>
      </c>
      <c r="AL93" s="13">
        <v>1.72E-2</v>
      </c>
      <c r="AM93" s="13">
        <v>-1.32E-2</v>
      </c>
      <c r="AN93" s="13">
        <v>-4.0099999999999997E-2</v>
      </c>
      <c r="AO93" s="13">
        <v>-5.62E-2</v>
      </c>
      <c r="AP93" s="13">
        <v>-5.7299999999999997E-2</v>
      </c>
      <c r="AQ93" s="13" t="s">
        <v>305</v>
      </c>
      <c r="AR93" s="13">
        <v>-1.72E-2</v>
      </c>
      <c r="AU93" s="13">
        <v>13</v>
      </c>
      <c r="AV93" s="13">
        <v>1.2800000000000001E-2</v>
      </c>
      <c r="AW93" s="13">
        <v>3.8899999999999997E-2</v>
      </c>
      <c r="AX93" s="13">
        <v>5.4600000000000003E-2</v>
      </c>
      <c r="AY93" s="13">
        <v>5.5599999999999997E-2</v>
      </c>
      <c r="AZ93" s="13">
        <v>4.1700000000000001E-2</v>
      </c>
      <c r="BA93" s="13">
        <v>1.67E-2</v>
      </c>
      <c r="BB93" s="13">
        <v>-1.2800000000000001E-2</v>
      </c>
      <c r="BC93" s="13">
        <v>-3.8899999999999997E-2</v>
      </c>
      <c r="BD93" s="13">
        <v>-5.4600000000000003E-2</v>
      </c>
      <c r="BE93" s="13">
        <v>-5.5599999999999997E-2</v>
      </c>
      <c r="BF93" s="13">
        <v>-4.1700000000000001E-2</v>
      </c>
      <c r="BG93" s="13">
        <v>-1.67E-2</v>
      </c>
      <c r="BJ93" s="13">
        <v>13</v>
      </c>
      <c r="BK93" s="13" t="s">
        <v>76</v>
      </c>
      <c r="BL93" s="13">
        <v>3.6400000000000002E-2</v>
      </c>
      <c r="BM93" s="13" t="s">
        <v>306</v>
      </c>
      <c r="BN93" s="13" t="s">
        <v>307</v>
      </c>
      <c r="BO93" s="13" t="s">
        <v>308</v>
      </c>
      <c r="BP93" s="13">
        <v>1.5599999999999999E-2</v>
      </c>
      <c r="BQ93" s="13" t="s">
        <v>66</v>
      </c>
      <c r="BR93" s="13">
        <v>-3.6400000000000002E-2</v>
      </c>
      <c r="BS93" s="13" t="s">
        <v>309</v>
      </c>
      <c r="BT93" s="13" t="s">
        <v>310</v>
      </c>
      <c r="BU93" s="13" t="s">
        <v>311</v>
      </c>
      <c r="BV93" s="13">
        <v>-1.5599999999999999E-2</v>
      </c>
    </row>
    <row r="94" spans="2:74" ht="16" thickBot="1" x14ac:dyDescent="0.4">
      <c r="B94" s="33">
        <v>14</v>
      </c>
      <c r="C94" s="33">
        <v>-4.48E-2</v>
      </c>
      <c r="D94" s="33">
        <v>-0.12859999999999999</v>
      </c>
      <c r="E94" s="33">
        <v>-0.1779</v>
      </c>
      <c r="F94" s="33">
        <v>-0.17960000000000001</v>
      </c>
      <c r="G94" s="33">
        <v>-0.13320000000000001</v>
      </c>
      <c r="H94" s="33" t="s">
        <v>309</v>
      </c>
      <c r="I94" s="33">
        <v>4.48E-2</v>
      </c>
      <c r="J94" s="33">
        <v>0.12859999999999999</v>
      </c>
      <c r="K94" s="33">
        <v>0.1779</v>
      </c>
      <c r="L94" s="33">
        <v>0.17960000000000001</v>
      </c>
      <c r="M94" s="33">
        <v>0.13320000000000001</v>
      </c>
      <c r="N94" s="33" t="s">
        <v>306</v>
      </c>
      <c r="Q94" s="30" t="s">
        <v>71</v>
      </c>
      <c r="R94" s="30">
        <v>-2.7699999999999999E-2</v>
      </c>
      <c r="S94" s="30">
        <v>-7.9399999999999998E-2</v>
      </c>
      <c r="T94" s="30">
        <v>-0.1099</v>
      </c>
      <c r="U94" s="30" t="s">
        <v>312</v>
      </c>
      <c r="V94" s="30">
        <v>-8.2199999999999995E-2</v>
      </c>
      <c r="W94" s="30">
        <v>-3.15E-2</v>
      </c>
      <c r="X94" s="30">
        <v>2.7699999999999999E-2</v>
      </c>
      <c r="Y94" s="30">
        <v>7.9399999999999998E-2</v>
      </c>
      <c r="Z94" s="30">
        <v>0.1099</v>
      </c>
      <c r="AA94" s="30">
        <v>0.1109</v>
      </c>
      <c r="AB94" s="30">
        <v>8.2199999999999995E-2</v>
      </c>
      <c r="AC94" s="30">
        <v>3.15E-2</v>
      </c>
      <c r="AF94" s="13">
        <v>14</v>
      </c>
      <c r="AG94" s="13">
        <v>1.4200000000000001E-2</v>
      </c>
      <c r="AH94" s="13">
        <v>4.0800000000000003E-2</v>
      </c>
      <c r="AI94" s="13">
        <v>5.6500000000000002E-2</v>
      </c>
      <c r="AJ94" s="13" t="s">
        <v>251</v>
      </c>
      <c r="AK94" s="13">
        <v>4.2299999999999997E-2</v>
      </c>
      <c r="AL94" s="13">
        <v>1.6199999999999999E-2</v>
      </c>
      <c r="AM94" s="13">
        <v>-1.4200000000000001E-2</v>
      </c>
      <c r="AN94" s="13">
        <v>-4.0800000000000003E-2</v>
      </c>
      <c r="AO94" s="13">
        <v>-5.6500000000000002E-2</v>
      </c>
      <c r="AP94" s="13" t="s">
        <v>252</v>
      </c>
      <c r="AQ94" s="13">
        <v>-4.2299999999999997E-2</v>
      </c>
      <c r="AR94" s="13">
        <v>-1.6199999999999999E-2</v>
      </c>
      <c r="AU94" s="13">
        <v>14</v>
      </c>
      <c r="AV94" s="13">
        <v>1.38E-2</v>
      </c>
      <c r="AW94" s="13">
        <v>3.9600000000000003E-2</v>
      </c>
      <c r="AX94" s="13">
        <v>5.4899999999999997E-2</v>
      </c>
      <c r="AY94" s="13">
        <v>5.5399999999999998E-2</v>
      </c>
      <c r="AZ94" s="13" t="s">
        <v>285</v>
      </c>
      <c r="BA94" s="13">
        <v>1.5699999999999999E-2</v>
      </c>
      <c r="BB94" s="13">
        <v>-1.38E-2</v>
      </c>
      <c r="BC94" s="13">
        <v>-3.9600000000000003E-2</v>
      </c>
      <c r="BD94" s="13">
        <v>-5.4899999999999997E-2</v>
      </c>
      <c r="BE94" s="13">
        <v>-5.5399999999999998E-2</v>
      </c>
      <c r="BF94" s="13" t="s">
        <v>283</v>
      </c>
      <c r="BG94" s="13">
        <v>-1.5699999999999999E-2</v>
      </c>
      <c r="BJ94" s="13">
        <v>14</v>
      </c>
      <c r="BK94" s="13">
        <v>1.29E-2</v>
      </c>
      <c r="BL94" s="13" t="s">
        <v>286</v>
      </c>
      <c r="BM94" s="13">
        <v>5.1299999999999998E-2</v>
      </c>
      <c r="BN94" s="13">
        <v>5.1700000000000003E-2</v>
      </c>
      <c r="BO94" s="13">
        <v>3.8399999999999997E-2</v>
      </c>
      <c r="BP94" s="13">
        <v>1.47E-2</v>
      </c>
      <c r="BQ94" s="13">
        <v>-1.29E-2</v>
      </c>
      <c r="BR94" s="13" t="s">
        <v>287</v>
      </c>
      <c r="BS94" s="13">
        <v>-5.1299999999999998E-2</v>
      </c>
      <c r="BT94" s="13">
        <v>-5.1700000000000003E-2</v>
      </c>
      <c r="BU94" s="13">
        <v>-3.8399999999999997E-2</v>
      </c>
      <c r="BV94" s="13">
        <v>-1.47E-2</v>
      </c>
    </row>
    <row r="95" spans="2:74" ht="16" thickBot="1" x14ac:dyDescent="0.4">
      <c r="B95" s="33">
        <v>15</v>
      </c>
      <c r="C95" s="33">
        <v>-4.7899999999999998E-2</v>
      </c>
      <c r="D95" s="33">
        <v>-0.13089999999999999</v>
      </c>
      <c r="E95" s="33">
        <v>-0.17879999999999999</v>
      </c>
      <c r="F95" s="33">
        <v>-0.17879999999999999</v>
      </c>
      <c r="G95" s="33">
        <v>-0.13089999999999999</v>
      </c>
      <c r="H95" s="33">
        <v>-4.7899999999999998E-2</v>
      </c>
      <c r="I95" s="33">
        <v>4.7899999999999998E-2</v>
      </c>
      <c r="J95" s="33">
        <v>0.13089999999999999</v>
      </c>
      <c r="K95" s="33">
        <v>0.17879999999999999</v>
      </c>
      <c r="L95" s="33">
        <v>0.17879999999999999</v>
      </c>
      <c r="M95" s="33">
        <v>0.13089999999999999</v>
      </c>
      <c r="N95" s="33">
        <v>4.7899999999999998E-2</v>
      </c>
      <c r="Q95" s="30" t="s">
        <v>72</v>
      </c>
      <c r="R95" s="30">
        <v>-2.9600000000000001E-2</v>
      </c>
      <c r="S95" s="30">
        <v>-8.0799999999999997E-2</v>
      </c>
      <c r="T95" s="30">
        <v>-0.1104</v>
      </c>
      <c r="U95" s="30">
        <v>-0.1104</v>
      </c>
      <c r="V95" s="30">
        <v>-8.0799999999999997E-2</v>
      </c>
      <c r="W95" s="30">
        <v>-2.9600000000000001E-2</v>
      </c>
      <c r="X95" s="30">
        <v>2.9600000000000001E-2</v>
      </c>
      <c r="Y95" s="30">
        <v>8.0799999999999997E-2</v>
      </c>
      <c r="Z95" s="30">
        <v>0.1104</v>
      </c>
      <c r="AA95" s="30">
        <v>0.1104</v>
      </c>
      <c r="AB95" s="30">
        <v>8.0799999999999997E-2</v>
      </c>
      <c r="AC95" s="30">
        <v>2.9600000000000001E-2</v>
      </c>
      <c r="AF95" s="13">
        <v>15</v>
      </c>
      <c r="AG95" s="13">
        <v>1.52E-2</v>
      </c>
      <c r="AH95" s="13">
        <v>4.1599999999999998E-2</v>
      </c>
      <c r="AI95" s="13">
        <v>5.6800000000000003E-2</v>
      </c>
      <c r="AJ95" s="13">
        <v>5.6800000000000003E-2</v>
      </c>
      <c r="AK95" s="13">
        <v>4.1599999999999998E-2</v>
      </c>
      <c r="AL95" s="13">
        <v>1.52E-2</v>
      </c>
      <c r="AM95" s="13">
        <v>-1.52E-2</v>
      </c>
      <c r="AN95" s="13">
        <v>-4.1599999999999998E-2</v>
      </c>
      <c r="AO95" s="13">
        <v>-5.6800000000000003E-2</v>
      </c>
      <c r="AP95" s="13">
        <v>-5.6800000000000003E-2</v>
      </c>
      <c r="AQ95" s="13">
        <v>-4.1599999999999998E-2</v>
      </c>
      <c r="AR95" s="13">
        <v>-1.52E-2</v>
      </c>
      <c r="AU95" s="13">
        <v>15</v>
      </c>
      <c r="AV95" s="13">
        <v>1.4800000000000001E-2</v>
      </c>
      <c r="AW95" s="13">
        <v>4.0399999999999998E-2</v>
      </c>
      <c r="AX95" s="13">
        <v>5.5100000000000003E-2</v>
      </c>
      <c r="AY95" s="13">
        <v>5.5100000000000003E-2</v>
      </c>
      <c r="AZ95" s="13">
        <v>4.0399999999999998E-2</v>
      </c>
      <c r="BA95" s="13">
        <v>1.4800000000000001E-2</v>
      </c>
      <c r="BB95" s="13">
        <v>-1.4800000000000001E-2</v>
      </c>
      <c r="BC95" s="13">
        <v>-4.0399999999999998E-2</v>
      </c>
      <c r="BD95" s="13">
        <v>-5.5100000000000003E-2</v>
      </c>
      <c r="BE95" s="13">
        <v>-5.5100000000000003E-2</v>
      </c>
      <c r="BF95" s="13">
        <v>-4.0399999999999998E-2</v>
      </c>
      <c r="BG95" s="13">
        <v>-1.4800000000000001E-2</v>
      </c>
      <c r="BJ95" s="13">
        <v>15</v>
      </c>
      <c r="BK95" s="13">
        <v>1.38E-2</v>
      </c>
      <c r="BL95" s="13">
        <v>3.7699999999999997E-2</v>
      </c>
      <c r="BM95" s="13">
        <v>5.1499999999999997E-2</v>
      </c>
      <c r="BN95" s="13">
        <v>5.1499999999999997E-2</v>
      </c>
      <c r="BO95" s="13">
        <v>3.7699999999999997E-2</v>
      </c>
      <c r="BP95" s="13">
        <v>1.38E-2</v>
      </c>
      <c r="BQ95" s="13">
        <v>-1.38E-2</v>
      </c>
      <c r="BR95" s="13">
        <v>-3.7699999999999997E-2</v>
      </c>
      <c r="BS95" s="13">
        <v>-5.1499999999999997E-2</v>
      </c>
      <c r="BT95" s="13">
        <v>-5.1499999999999997E-2</v>
      </c>
      <c r="BU95" s="13">
        <v>-3.7699999999999997E-2</v>
      </c>
      <c r="BV95" s="13">
        <v>-1.38E-2</v>
      </c>
    </row>
    <row r="96" spans="2:74" ht="16" thickBot="1" x14ac:dyDescent="0.4">
      <c r="B96" s="33">
        <v>16</v>
      </c>
      <c r="C96" s="33" t="s">
        <v>309</v>
      </c>
      <c r="D96" s="33">
        <v>-0.13320000000000001</v>
      </c>
      <c r="E96" s="33">
        <v>-0.17960000000000001</v>
      </c>
      <c r="F96" s="33">
        <v>-0.1779</v>
      </c>
      <c r="G96" s="33">
        <v>-0.12859999999999999</v>
      </c>
      <c r="H96" s="33">
        <v>-4.48E-2</v>
      </c>
      <c r="I96" s="33" t="s">
        <v>306</v>
      </c>
      <c r="J96" s="33">
        <v>0.13320000000000001</v>
      </c>
      <c r="K96" s="33">
        <v>0.17960000000000001</v>
      </c>
      <c r="L96" s="33">
        <v>0.1779</v>
      </c>
      <c r="M96" s="33">
        <v>0.12859999999999999</v>
      </c>
      <c r="N96" s="33">
        <v>4.48E-2</v>
      </c>
      <c r="Q96" s="30" t="s">
        <v>73</v>
      </c>
      <c r="R96" s="30">
        <v>-3.15E-2</v>
      </c>
      <c r="S96" s="30">
        <v>-8.2199999999999995E-2</v>
      </c>
      <c r="T96" s="30">
        <v>-0.1109</v>
      </c>
      <c r="U96" s="30">
        <v>-0.1099</v>
      </c>
      <c r="V96" s="30">
        <v>-7.9399999999999998E-2</v>
      </c>
      <c r="W96" s="30">
        <v>-2.7699999999999999E-2</v>
      </c>
      <c r="X96" s="30">
        <v>3.15E-2</v>
      </c>
      <c r="Y96" s="30">
        <v>8.2199999999999995E-2</v>
      </c>
      <c r="Z96" s="30" t="s">
        <v>313</v>
      </c>
      <c r="AA96" s="30">
        <v>0.1099</v>
      </c>
      <c r="AB96" s="30">
        <v>7.9399999999999998E-2</v>
      </c>
      <c r="AC96" s="30">
        <v>2.7699999999999999E-2</v>
      </c>
      <c r="AF96" s="13">
        <v>16</v>
      </c>
      <c r="AG96" s="13">
        <v>1.6199999999999999E-2</v>
      </c>
      <c r="AH96" s="13">
        <v>4.2299999999999997E-2</v>
      </c>
      <c r="AI96" s="13" t="s">
        <v>251</v>
      </c>
      <c r="AJ96" s="13">
        <v>5.6500000000000002E-2</v>
      </c>
      <c r="AK96" s="13">
        <v>4.0800000000000003E-2</v>
      </c>
      <c r="AL96" s="13">
        <v>1.4200000000000001E-2</v>
      </c>
      <c r="AM96" s="13">
        <v>-1.6199999999999999E-2</v>
      </c>
      <c r="AN96" s="13">
        <v>-4.2299999999999997E-2</v>
      </c>
      <c r="AO96" s="13" t="s">
        <v>252</v>
      </c>
      <c r="AP96" s="13">
        <v>-5.6500000000000002E-2</v>
      </c>
      <c r="AQ96" s="13">
        <v>-4.0800000000000003E-2</v>
      </c>
      <c r="AR96" s="13">
        <v>-1.4200000000000001E-2</v>
      </c>
      <c r="AU96" s="13">
        <v>16</v>
      </c>
      <c r="AV96" s="13">
        <v>1.5699999999999999E-2</v>
      </c>
      <c r="AW96" s="13" t="s">
        <v>285</v>
      </c>
      <c r="AX96" s="13">
        <v>5.5399999999999998E-2</v>
      </c>
      <c r="AY96" s="13">
        <v>5.4899999999999997E-2</v>
      </c>
      <c r="AZ96" s="13">
        <v>3.9600000000000003E-2</v>
      </c>
      <c r="BA96" s="13">
        <v>1.38E-2</v>
      </c>
      <c r="BB96" s="13">
        <v>-1.5699999999999999E-2</v>
      </c>
      <c r="BC96" s="13" t="s">
        <v>283</v>
      </c>
      <c r="BD96" s="13">
        <v>-5.5399999999999998E-2</v>
      </c>
      <c r="BE96" s="13">
        <v>-5.4899999999999997E-2</v>
      </c>
      <c r="BF96" s="13">
        <v>-3.9600000000000003E-2</v>
      </c>
      <c r="BG96" s="13">
        <v>-1.38E-2</v>
      </c>
      <c r="BJ96" s="13">
        <v>16</v>
      </c>
      <c r="BK96" s="13">
        <v>1.47E-2</v>
      </c>
      <c r="BL96" s="13">
        <v>3.8399999999999997E-2</v>
      </c>
      <c r="BM96" s="13">
        <v>5.1700000000000003E-2</v>
      </c>
      <c r="BN96" s="13">
        <v>5.1299999999999998E-2</v>
      </c>
      <c r="BO96" s="13" t="s">
        <v>286</v>
      </c>
      <c r="BP96" s="13">
        <v>1.29E-2</v>
      </c>
      <c r="BQ96" s="13">
        <v>-1.47E-2</v>
      </c>
      <c r="BR96" s="13">
        <v>-3.8399999999999997E-2</v>
      </c>
      <c r="BS96" s="13">
        <v>-5.1700000000000003E-2</v>
      </c>
      <c r="BT96" s="13">
        <v>-5.1299999999999998E-2</v>
      </c>
      <c r="BU96" s="13" t="s">
        <v>287</v>
      </c>
      <c r="BV96" s="13">
        <v>-1.29E-2</v>
      </c>
    </row>
    <row r="97" spans="2:74" ht="16" thickBot="1" x14ac:dyDescent="0.4">
      <c r="B97" s="33">
        <v>17</v>
      </c>
      <c r="C97" s="33">
        <v>-5.4100000000000002E-2</v>
      </c>
      <c r="D97" s="33">
        <v>-0.13539999999999999</v>
      </c>
      <c r="E97" s="33">
        <v>-0.1804</v>
      </c>
      <c r="F97" s="33" t="s">
        <v>320</v>
      </c>
      <c r="G97" s="33">
        <v>-0.12620000000000001</v>
      </c>
      <c r="H97" s="33">
        <v>-4.1599999999999998E-2</v>
      </c>
      <c r="I97" s="33">
        <v>5.4100000000000002E-2</v>
      </c>
      <c r="J97" s="33">
        <v>0.13539999999999999</v>
      </c>
      <c r="K97" s="33">
        <v>0.1804</v>
      </c>
      <c r="L97" s="33" t="s">
        <v>301</v>
      </c>
      <c r="M97" s="33">
        <v>0.12620000000000001</v>
      </c>
      <c r="N97" s="33">
        <v>4.1599999999999998E-2</v>
      </c>
      <c r="Q97" s="30" t="s">
        <v>74</v>
      </c>
      <c r="R97" s="30">
        <v>-3.3399999999999999E-2</v>
      </c>
      <c r="S97" s="30">
        <v>-8.3599999999999994E-2</v>
      </c>
      <c r="T97" s="30">
        <v>-0.1114</v>
      </c>
      <c r="U97" s="30">
        <v>-0.10929999999999999</v>
      </c>
      <c r="V97" s="30" t="s">
        <v>302</v>
      </c>
      <c r="W97" s="30">
        <v>-2.5700000000000001E-2</v>
      </c>
      <c r="X97" s="30">
        <v>3.3399999999999999E-2</v>
      </c>
      <c r="Y97" s="30">
        <v>8.3599999999999994E-2</v>
      </c>
      <c r="Z97" s="30">
        <v>0.1114</v>
      </c>
      <c r="AA97" s="30">
        <v>0.10929999999999999</v>
      </c>
      <c r="AB97" s="30" t="s">
        <v>303</v>
      </c>
      <c r="AC97" s="30">
        <v>2.5700000000000001E-2</v>
      </c>
      <c r="AF97" s="13">
        <v>17</v>
      </c>
      <c r="AG97" s="13">
        <v>1.72E-2</v>
      </c>
      <c r="AH97" s="13" t="s">
        <v>304</v>
      </c>
      <c r="AI97" s="13">
        <v>5.7299999999999997E-2</v>
      </c>
      <c r="AJ97" s="13">
        <v>5.62E-2</v>
      </c>
      <c r="AK97" s="13">
        <v>4.0099999999999997E-2</v>
      </c>
      <c r="AL97" s="13">
        <v>1.32E-2</v>
      </c>
      <c r="AM97" s="13">
        <v>-1.72E-2</v>
      </c>
      <c r="AN97" s="13" t="s">
        <v>305</v>
      </c>
      <c r="AO97" s="13">
        <v>-5.7299999999999997E-2</v>
      </c>
      <c r="AP97" s="13">
        <v>-5.62E-2</v>
      </c>
      <c r="AQ97" s="13">
        <v>-4.0099999999999997E-2</v>
      </c>
      <c r="AR97" s="13">
        <v>-1.32E-2</v>
      </c>
      <c r="AU97" s="13">
        <v>17</v>
      </c>
      <c r="AV97" s="13">
        <v>1.67E-2</v>
      </c>
      <c r="AW97" s="13">
        <v>4.1700000000000001E-2</v>
      </c>
      <c r="AX97" s="13">
        <v>5.5599999999999997E-2</v>
      </c>
      <c r="AY97" s="13">
        <v>5.4600000000000003E-2</v>
      </c>
      <c r="AZ97" s="13">
        <v>3.8899999999999997E-2</v>
      </c>
      <c r="BA97" s="13">
        <v>1.2800000000000001E-2</v>
      </c>
      <c r="BB97" s="13">
        <v>-1.67E-2</v>
      </c>
      <c r="BC97" s="13">
        <v>-4.1700000000000001E-2</v>
      </c>
      <c r="BD97" s="13">
        <v>-5.5599999999999997E-2</v>
      </c>
      <c r="BE97" s="13">
        <v>-5.4600000000000003E-2</v>
      </c>
      <c r="BF97" s="13">
        <v>-3.8899999999999997E-2</v>
      </c>
      <c r="BG97" s="13">
        <v>-1.2800000000000001E-2</v>
      </c>
      <c r="BJ97" s="13">
        <v>17</v>
      </c>
      <c r="BK97" s="13">
        <v>1.5599999999999999E-2</v>
      </c>
      <c r="BL97" s="13" t="s">
        <v>308</v>
      </c>
      <c r="BM97" s="13" t="s">
        <v>307</v>
      </c>
      <c r="BN97" s="13" t="s">
        <v>306</v>
      </c>
      <c r="BO97" s="13">
        <v>3.6400000000000002E-2</v>
      </c>
      <c r="BP97" s="13" t="s">
        <v>76</v>
      </c>
      <c r="BQ97" s="13">
        <v>-1.5599999999999999E-2</v>
      </c>
      <c r="BR97" s="13" t="s">
        <v>311</v>
      </c>
      <c r="BS97" s="13" t="s">
        <v>310</v>
      </c>
      <c r="BT97" s="13" t="s">
        <v>309</v>
      </c>
      <c r="BU97" s="13">
        <v>-3.6400000000000002E-2</v>
      </c>
      <c r="BV97" s="13" t="s">
        <v>66</v>
      </c>
    </row>
    <row r="98" spans="2:74" ht="16" thickBot="1" x14ac:dyDescent="0.4">
      <c r="B98" s="33">
        <v>18</v>
      </c>
      <c r="C98" s="33">
        <v>-5.7200000000000001E-2</v>
      </c>
      <c r="D98" s="33">
        <v>-0.1376</v>
      </c>
      <c r="E98" s="33">
        <v>-0.18110000000000001</v>
      </c>
      <c r="F98" s="33">
        <v>-0.17610000000000001</v>
      </c>
      <c r="G98" s="33">
        <v>-0.1239</v>
      </c>
      <c r="H98" s="33">
        <v>-3.85E-2</v>
      </c>
      <c r="I98" s="33">
        <v>5.7200000000000001E-2</v>
      </c>
      <c r="J98" s="33">
        <v>0.1376</v>
      </c>
      <c r="K98" s="33">
        <v>0.18110000000000001</v>
      </c>
      <c r="L98" s="33">
        <v>0.17610000000000001</v>
      </c>
      <c r="M98" s="33">
        <v>0.1239</v>
      </c>
      <c r="N98" s="33">
        <v>3.85E-2</v>
      </c>
      <c r="Q98" s="30" t="s">
        <v>75</v>
      </c>
      <c r="R98" s="30">
        <v>-3.5299999999999998E-2</v>
      </c>
      <c r="S98" s="30" t="s">
        <v>299</v>
      </c>
      <c r="T98" s="30">
        <v>-0.1118</v>
      </c>
      <c r="U98" s="30">
        <v>-0.1087</v>
      </c>
      <c r="V98" s="30">
        <v>-7.6499999999999999E-2</v>
      </c>
      <c r="W98" s="30">
        <v>-2.3800000000000002E-2</v>
      </c>
      <c r="X98" s="30">
        <v>3.5299999999999998E-2</v>
      </c>
      <c r="Y98" s="30" t="s">
        <v>300</v>
      </c>
      <c r="Z98" s="30">
        <v>0.1118</v>
      </c>
      <c r="AA98" s="30">
        <v>0.1087</v>
      </c>
      <c r="AB98" s="30">
        <v>7.6499999999999999E-2</v>
      </c>
      <c r="AC98" s="30">
        <v>2.3800000000000002E-2</v>
      </c>
      <c r="AF98" s="13">
        <v>18</v>
      </c>
      <c r="AG98" s="13">
        <v>1.8200000000000001E-2</v>
      </c>
      <c r="AH98" s="13">
        <v>4.3700000000000003E-2</v>
      </c>
      <c r="AI98" s="13">
        <v>5.7500000000000002E-2</v>
      </c>
      <c r="AJ98" s="13">
        <v>5.5899999999999998E-2</v>
      </c>
      <c r="AK98" s="13">
        <v>3.9300000000000002E-2</v>
      </c>
      <c r="AL98" s="13">
        <v>1.2200000000000001E-2</v>
      </c>
      <c r="AM98" s="13">
        <v>-1.8200000000000001E-2</v>
      </c>
      <c r="AN98" s="13">
        <v>-4.3700000000000003E-2</v>
      </c>
      <c r="AO98" s="13">
        <v>-5.7500000000000002E-2</v>
      </c>
      <c r="AP98" s="13">
        <v>-5.5899999999999998E-2</v>
      </c>
      <c r="AQ98" s="13">
        <v>-3.9300000000000002E-2</v>
      </c>
      <c r="AR98" s="13">
        <v>-1.2200000000000001E-2</v>
      </c>
      <c r="AU98" s="13">
        <v>18</v>
      </c>
      <c r="AV98" s="13">
        <v>1.7600000000000001E-2</v>
      </c>
      <c r="AW98" s="13">
        <v>4.24E-2</v>
      </c>
      <c r="AX98" s="13">
        <v>5.5800000000000002E-2</v>
      </c>
      <c r="AY98" s="13">
        <v>5.4300000000000001E-2</v>
      </c>
      <c r="AZ98" s="13">
        <v>3.8199999999999998E-2</v>
      </c>
      <c r="BA98" s="13">
        <v>1.1900000000000001E-2</v>
      </c>
      <c r="BB98" s="13">
        <v>-1.7600000000000001E-2</v>
      </c>
      <c r="BC98" s="13">
        <v>-4.24E-2</v>
      </c>
      <c r="BD98" s="13">
        <v>-5.5800000000000002E-2</v>
      </c>
      <c r="BE98" s="13">
        <v>-5.4300000000000001E-2</v>
      </c>
      <c r="BF98" s="13">
        <v>-3.8199999999999998E-2</v>
      </c>
      <c r="BG98" s="13">
        <v>-1.1900000000000001E-2</v>
      </c>
      <c r="BJ98" s="13">
        <v>18</v>
      </c>
      <c r="BK98" s="13">
        <v>1.6500000000000001E-2</v>
      </c>
      <c r="BL98" s="13">
        <v>3.9600000000000003E-2</v>
      </c>
      <c r="BM98" s="13">
        <v>5.2200000000000003E-2</v>
      </c>
      <c r="BN98" s="13">
        <v>5.0700000000000002E-2</v>
      </c>
      <c r="BO98" s="13">
        <v>3.5700000000000003E-2</v>
      </c>
      <c r="BP98" s="13">
        <v>1.11E-2</v>
      </c>
      <c r="BQ98" s="13">
        <v>-1.6500000000000001E-2</v>
      </c>
      <c r="BR98" s="13">
        <v>-3.9600000000000003E-2</v>
      </c>
      <c r="BS98" s="13">
        <v>-5.2200000000000003E-2</v>
      </c>
      <c r="BT98" s="13">
        <v>-5.0700000000000002E-2</v>
      </c>
      <c r="BU98" s="13">
        <v>-3.5700000000000003E-2</v>
      </c>
      <c r="BV98" s="13">
        <v>-1.11E-2</v>
      </c>
    </row>
    <row r="99" spans="2:74" ht="16" thickBot="1" x14ac:dyDescent="0.4">
      <c r="B99" s="33">
        <v>19</v>
      </c>
      <c r="C99" s="33">
        <v>-6.0299999999999999E-2</v>
      </c>
      <c r="D99" s="33">
        <v>-0.13969999999999999</v>
      </c>
      <c r="E99" s="33">
        <v>-0.1817</v>
      </c>
      <c r="F99" s="33" t="s">
        <v>319</v>
      </c>
      <c r="G99" s="33">
        <v>-0.12139999999999999</v>
      </c>
      <c r="H99" s="33">
        <v>-3.5299999999999998E-2</v>
      </c>
      <c r="I99" s="33">
        <v>6.0299999999999999E-2</v>
      </c>
      <c r="J99" s="33">
        <v>0.13969999999999999</v>
      </c>
      <c r="K99" s="33">
        <v>0.1817</v>
      </c>
      <c r="L99" s="33" t="s">
        <v>290</v>
      </c>
      <c r="M99" s="33">
        <v>0.12139999999999999</v>
      </c>
      <c r="N99" s="33">
        <v>3.5299999999999998E-2</v>
      </c>
      <c r="Q99" s="30" t="s">
        <v>77</v>
      </c>
      <c r="R99" s="30">
        <v>-3.7199999999999997E-2</v>
      </c>
      <c r="S99" s="30">
        <v>-8.6300000000000002E-2</v>
      </c>
      <c r="T99" s="30">
        <v>-0.11219999999999999</v>
      </c>
      <c r="U99" s="30">
        <v>-0.1081</v>
      </c>
      <c r="V99" s="30" t="s">
        <v>291</v>
      </c>
      <c r="W99" s="30">
        <v>-2.18E-2</v>
      </c>
      <c r="X99" s="30">
        <v>3.7199999999999997E-2</v>
      </c>
      <c r="Y99" s="30">
        <v>8.6300000000000002E-2</v>
      </c>
      <c r="Z99" s="30">
        <v>0.11219999999999999</v>
      </c>
      <c r="AA99" s="30">
        <v>0.1081</v>
      </c>
      <c r="AB99" s="30" t="s">
        <v>292</v>
      </c>
      <c r="AC99" s="30">
        <v>2.18E-2</v>
      </c>
      <c r="AF99" s="13">
        <v>19</v>
      </c>
      <c r="AG99" s="13">
        <v>1.9099999999999999E-2</v>
      </c>
      <c r="AH99" s="13">
        <v>4.4400000000000002E-2</v>
      </c>
      <c r="AI99" s="13">
        <v>5.7700000000000001E-2</v>
      </c>
      <c r="AJ99" s="13">
        <v>5.5599999999999997E-2</v>
      </c>
      <c r="AK99" s="13">
        <v>3.8600000000000002E-2</v>
      </c>
      <c r="AL99" s="13">
        <v>1.12E-2</v>
      </c>
      <c r="AM99" s="13">
        <v>-1.9099999999999999E-2</v>
      </c>
      <c r="AN99" s="13">
        <v>-4.4400000000000002E-2</v>
      </c>
      <c r="AO99" s="13">
        <v>-5.7700000000000001E-2</v>
      </c>
      <c r="AP99" s="13">
        <v>-5.5599999999999997E-2</v>
      </c>
      <c r="AQ99" s="13">
        <v>-3.8600000000000002E-2</v>
      </c>
      <c r="AR99" s="13">
        <v>-1.12E-2</v>
      </c>
      <c r="AU99" s="13">
        <v>19</v>
      </c>
      <c r="AV99" s="13">
        <v>1.8599999999999998E-2</v>
      </c>
      <c r="AW99" s="13">
        <v>4.3099999999999999E-2</v>
      </c>
      <c r="AX99" s="13" t="s">
        <v>294</v>
      </c>
      <c r="AY99" s="13" t="s">
        <v>293</v>
      </c>
      <c r="AZ99" s="13">
        <v>3.7400000000000003E-2</v>
      </c>
      <c r="BA99" s="13">
        <v>1.09E-2</v>
      </c>
      <c r="BB99" s="13">
        <v>-1.8599999999999998E-2</v>
      </c>
      <c r="BC99" s="13">
        <v>-4.3099999999999999E-2</v>
      </c>
      <c r="BD99" s="13" t="s">
        <v>296</v>
      </c>
      <c r="BE99" s="13" t="s">
        <v>295</v>
      </c>
      <c r="BF99" s="13">
        <v>-3.7400000000000003E-2</v>
      </c>
      <c r="BG99" s="13">
        <v>-1.09E-2</v>
      </c>
      <c r="BJ99" s="13">
        <v>19</v>
      </c>
      <c r="BK99" s="13">
        <v>1.7399999999999999E-2</v>
      </c>
      <c r="BL99" s="13">
        <v>4.02E-2</v>
      </c>
      <c r="BM99" s="13">
        <v>5.2299999999999999E-2</v>
      </c>
      <c r="BN99" s="13">
        <v>5.04E-2</v>
      </c>
      <c r="BO99" s="13" t="s">
        <v>297</v>
      </c>
      <c r="BP99" s="13">
        <v>1.0200000000000001E-2</v>
      </c>
      <c r="BQ99" s="13">
        <v>-1.7399999999999999E-2</v>
      </c>
      <c r="BR99" s="13">
        <v>-4.02E-2</v>
      </c>
      <c r="BS99" s="13">
        <v>-5.2299999999999999E-2</v>
      </c>
      <c r="BT99" s="13">
        <v>-5.04E-2</v>
      </c>
      <c r="BU99" s="13" t="s">
        <v>298</v>
      </c>
      <c r="BV99" s="13">
        <v>-1.0200000000000001E-2</v>
      </c>
    </row>
    <row r="100" spans="2:74" ht="16" thickBot="1" x14ac:dyDescent="0.4">
      <c r="B100" s="33">
        <v>20</v>
      </c>
      <c r="C100" s="33">
        <v>-6.3299999999999995E-2</v>
      </c>
      <c r="D100" s="33">
        <v>-0.14180000000000001</v>
      </c>
      <c r="E100" s="33">
        <v>-0.18229999999999999</v>
      </c>
      <c r="F100" s="33" t="s">
        <v>318</v>
      </c>
      <c r="G100" s="33" t="s">
        <v>321</v>
      </c>
      <c r="H100" s="33">
        <v>-3.2099999999999997E-2</v>
      </c>
      <c r="I100" s="33">
        <v>6.3299999999999995E-2</v>
      </c>
      <c r="J100" s="33">
        <v>0.14180000000000001</v>
      </c>
      <c r="K100" s="33">
        <v>0.18229999999999999</v>
      </c>
      <c r="L100" s="33" t="s">
        <v>289</v>
      </c>
      <c r="M100" s="33" t="s">
        <v>288</v>
      </c>
      <c r="N100" s="33">
        <v>3.2099999999999997E-2</v>
      </c>
      <c r="Q100" s="30" t="s">
        <v>78</v>
      </c>
      <c r="R100" s="30">
        <v>-3.9100000000000003E-2</v>
      </c>
      <c r="S100" s="30">
        <v>-8.7599999999999997E-2</v>
      </c>
      <c r="T100" s="30">
        <v>-0.11260000000000001</v>
      </c>
      <c r="U100" s="30">
        <v>-0.1074</v>
      </c>
      <c r="V100" s="30">
        <v>-7.3499999999999996E-2</v>
      </c>
      <c r="W100" s="30">
        <v>-1.9900000000000001E-2</v>
      </c>
      <c r="X100" s="30">
        <v>3.9100000000000003E-2</v>
      </c>
      <c r="Y100" s="30">
        <v>8.7599999999999997E-2</v>
      </c>
      <c r="Z100" s="30">
        <v>0.11260000000000001</v>
      </c>
      <c r="AA100" s="30">
        <v>0.1074</v>
      </c>
      <c r="AB100" s="30">
        <v>7.3499999999999996E-2</v>
      </c>
      <c r="AC100" s="30">
        <v>1.9900000000000001E-2</v>
      </c>
      <c r="AF100" s="13">
        <v>20</v>
      </c>
      <c r="AG100" s="13">
        <v>2.01E-2</v>
      </c>
      <c r="AH100" s="13" t="s">
        <v>276</v>
      </c>
      <c r="AI100" s="13">
        <v>5.79E-2</v>
      </c>
      <c r="AJ100" s="13">
        <v>5.5199999999999999E-2</v>
      </c>
      <c r="AK100" s="13">
        <v>3.78E-2</v>
      </c>
      <c r="AL100" s="13">
        <v>1.0200000000000001E-2</v>
      </c>
      <c r="AM100" s="13">
        <v>-2.01E-2</v>
      </c>
      <c r="AN100" s="13" t="s">
        <v>277</v>
      </c>
      <c r="AO100" s="13">
        <v>-5.79E-2</v>
      </c>
      <c r="AP100" s="13">
        <v>-5.5199999999999999E-2</v>
      </c>
      <c r="AQ100" s="13">
        <v>-3.78E-2</v>
      </c>
      <c r="AR100" s="13">
        <v>-1.0200000000000001E-2</v>
      </c>
      <c r="AU100" s="13">
        <v>20</v>
      </c>
      <c r="AV100" s="13">
        <v>1.95E-2</v>
      </c>
      <c r="AW100" s="13">
        <v>4.3700000000000003E-2</v>
      </c>
      <c r="AX100" s="13">
        <v>5.62E-2</v>
      </c>
      <c r="AY100" s="13">
        <v>5.3600000000000002E-2</v>
      </c>
      <c r="AZ100" s="13">
        <v>3.6700000000000003E-2</v>
      </c>
      <c r="BA100" s="13">
        <v>9.9000000000000008E-3</v>
      </c>
      <c r="BB100" s="13">
        <v>-1.95E-2</v>
      </c>
      <c r="BC100" s="13">
        <v>-4.3700000000000003E-2</v>
      </c>
      <c r="BD100" s="13">
        <v>-5.62E-2</v>
      </c>
      <c r="BE100" s="13">
        <v>-5.3600000000000002E-2</v>
      </c>
      <c r="BF100" s="13">
        <v>-3.6700000000000003E-2</v>
      </c>
      <c r="BG100" s="13">
        <v>-9.9000000000000008E-3</v>
      </c>
      <c r="BJ100" s="13">
        <v>20</v>
      </c>
      <c r="BK100" s="13">
        <v>1.8200000000000001E-2</v>
      </c>
      <c r="BL100" s="13">
        <v>4.0800000000000003E-2</v>
      </c>
      <c r="BM100" s="13">
        <v>5.2499999999999998E-2</v>
      </c>
      <c r="BN100" s="13">
        <v>5.0099999999999999E-2</v>
      </c>
      <c r="BO100" s="13">
        <v>3.4299999999999997E-2</v>
      </c>
      <c r="BP100" s="13">
        <v>9.2999999999999992E-3</v>
      </c>
      <c r="BQ100" s="13">
        <v>-1.8200000000000001E-2</v>
      </c>
      <c r="BR100" s="13">
        <v>-4.0800000000000003E-2</v>
      </c>
      <c r="BS100" s="13">
        <v>-5.2499999999999998E-2</v>
      </c>
      <c r="BT100" s="13">
        <v>-5.0099999999999999E-2</v>
      </c>
      <c r="BU100" s="13">
        <v>-3.4299999999999997E-2</v>
      </c>
      <c r="BV100" s="13">
        <v>-9.2999999999999992E-3</v>
      </c>
    </row>
    <row r="101" spans="2:74" ht="16" thickBot="1" x14ac:dyDescent="0.4">
      <c r="B101" s="33">
        <v>21</v>
      </c>
      <c r="C101" s="33">
        <v>-6.6299999999999998E-2</v>
      </c>
      <c r="D101" s="33">
        <v>-0.1439</v>
      </c>
      <c r="E101" s="33">
        <v>-0.18279999999999999</v>
      </c>
      <c r="F101" s="33">
        <v>-0.17280000000000001</v>
      </c>
      <c r="G101" s="33">
        <v>-0.11650000000000001</v>
      </c>
      <c r="H101" s="33" t="s">
        <v>261</v>
      </c>
      <c r="I101" s="33">
        <v>6.6299999999999998E-2</v>
      </c>
      <c r="J101" s="33">
        <v>0.1439</v>
      </c>
      <c r="K101" s="33">
        <v>0.18279999999999999</v>
      </c>
      <c r="L101" s="33">
        <v>0.17280000000000001</v>
      </c>
      <c r="M101" s="33">
        <v>0.11650000000000001</v>
      </c>
      <c r="N101" s="33" t="s">
        <v>260</v>
      </c>
      <c r="Q101" s="30" t="s">
        <v>79</v>
      </c>
      <c r="R101" s="30" t="s">
        <v>283</v>
      </c>
      <c r="S101" s="30">
        <v>-8.8900000000000007E-2</v>
      </c>
      <c r="T101" s="30">
        <v>-0.1129</v>
      </c>
      <c r="U101" s="30">
        <v>-0.1067</v>
      </c>
      <c r="V101" s="30" t="s">
        <v>282</v>
      </c>
      <c r="W101" s="30">
        <v>-1.7899999999999999E-2</v>
      </c>
      <c r="X101" s="30" t="s">
        <v>285</v>
      </c>
      <c r="Y101" s="30">
        <v>8.8900000000000007E-2</v>
      </c>
      <c r="Z101" s="30">
        <v>0.1129</v>
      </c>
      <c r="AA101" s="30">
        <v>0.1067</v>
      </c>
      <c r="AB101" s="30" t="s">
        <v>284</v>
      </c>
      <c r="AC101" s="30">
        <v>1.7899999999999999E-2</v>
      </c>
      <c r="AF101" s="13">
        <v>21</v>
      </c>
      <c r="AG101" s="13">
        <v>2.1100000000000001E-2</v>
      </c>
      <c r="AH101" s="13">
        <v>4.5699999999999998E-2</v>
      </c>
      <c r="AI101" s="13">
        <v>5.8099999999999999E-2</v>
      </c>
      <c r="AJ101" s="13">
        <v>5.4899999999999997E-2</v>
      </c>
      <c r="AK101" s="13" t="s">
        <v>286</v>
      </c>
      <c r="AL101" s="13">
        <v>9.1999999999999998E-3</v>
      </c>
      <c r="AM101" s="13">
        <v>-2.1100000000000001E-2</v>
      </c>
      <c r="AN101" s="13">
        <v>-4.5699999999999998E-2</v>
      </c>
      <c r="AO101" s="13">
        <v>-5.8099999999999999E-2</v>
      </c>
      <c r="AP101" s="13">
        <v>-5.4899999999999997E-2</v>
      </c>
      <c r="AQ101" s="13" t="s">
        <v>287</v>
      </c>
      <c r="AR101" s="13">
        <v>-9.1999999999999998E-3</v>
      </c>
      <c r="AU101" s="13">
        <v>21</v>
      </c>
      <c r="AV101" s="13">
        <v>2.0500000000000001E-2</v>
      </c>
      <c r="AW101" s="13">
        <v>4.4299999999999999E-2</v>
      </c>
      <c r="AX101" s="13">
        <v>5.6399999999999999E-2</v>
      </c>
      <c r="AY101" s="13">
        <v>5.33E-2</v>
      </c>
      <c r="AZ101" s="13">
        <v>3.5900000000000001E-2</v>
      </c>
      <c r="BA101" s="13">
        <v>8.8999999999999999E-3</v>
      </c>
      <c r="BB101" s="13">
        <v>-2.0500000000000001E-2</v>
      </c>
      <c r="BC101" s="13">
        <v>-4.4299999999999999E-2</v>
      </c>
      <c r="BD101" s="13">
        <v>-5.6399999999999999E-2</v>
      </c>
      <c r="BE101" s="13">
        <v>-5.33E-2</v>
      </c>
      <c r="BF101" s="13">
        <v>-3.5900000000000001E-2</v>
      </c>
      <c r="BG101" s="13">
        <v>-8.8999999999999999E-3</v>
      </c>
      <c r="BJ101" s="13">
        <v>21</v>
      </c>
      <c r="BK101" s="13">
        <v>1.9099999999999999E-2</v>
      </c>
      <c r="BL101" s="13">
        <v>4.1399999999999999E-2</v>
      </c>
      <c r="BM101" s="13">
        <v>5.2699999999999997E-2</v>
      </c>
      <c r="BN101" s="13">
        <v>4.9799999999999997E-2</v>
      </c>
      <c r="BO101" s="13">
        <v>3.3599999999999998E-2</v>
      </c>
      <c r="BP101" s="13">
        <v>8.3000000000000001E-3</v>
      </c>
      <c r="BQ101" s="13">
        <v>-1.9099999999999999E-2</v>
      </c>
      <c r="BR101" s="13">
        <v>-4.1399999999999999E-2</v>
      </c>
      <c r="BS101" s="13">
        <v>-5.2699999999999997E-2</v>
      </c>
      <c r="BT101" s="13">
        <v>-4.9799999999999997E-2</v>
      </c>
      <c r="BU101" s="13">
        <v>-3.3599999999999998E-2</v>
      </c>
      <c r="BV101" s="13">
        <v>-8.3000000000000001E-3</v>
      </c>
    </row>
    <row r="102" spans="2:74" ht="16" thickBot="1" x14ac:dyDescent="0.4">
      <c r="B102" s="33">
        <v>22</v>
      </c>
      <c r="C102" s="33">
        <v>-6.93E-2</v>
      </c>
      <c r="D102" s="33">
        <v>-0.1459</v>
      </c>
      <c r="E102" s="33">
        <v>-0.18329999999999999</v>
      </c>
      <c r="F102" s="33">
        <v>-0.1716</v>
      </c>
      <c r="G102" s="33" t="s">
        <v>322</v>
      </c>
      <c r="H102" s="33">
        <v>-2.58E-2</v>
      </c>
      <c r="I102" s="33">
        <v>6.93E-2</v>
      </c>
      <c r="J102" s="33">
        <v>0.1459</v>
      </c>
      <c r="K102" s="33">
        <v>0.18329999999999999</v>
      </c>
      <c r="L102" s="33">
        <v>0.1716</v>
      </c>
      <c r="M102" s="33" t="s">
        <v>314</v>
      </c>
      <c r="N102" s="33">
        <v>2.58E-2</v>
      </c>
      <c r="Q102" s="30" t="s">
        <v>80</v>
      </c>
      <c r="R102" s="30">
        <v>-4.2799999999999998E-2</v>
      </c>
      <c r="S102" s="30">
        <v>-9.01E-2</v>
      </c>
      <c r="T102" s="30">
        <v>-0.1132</v>
      </c>
      <c r="U102" s="30" t="s">
        <v>273</v>
      </c>
      <c r="V102" s="30">
        <v>-7.0400000000000004E-2</v>
      </c>
      <c r="W102" s="30">
        <v>-1.5900000000000001E-2</v>
      </c>
      <c r="X102" s="30">
        <v>4.2799999999999998E-2</v>
      </c>
      <c r="Y102" s="30">
        <v>9.01E-2</v>
      </c>
      <c r="Z102" s="30">
        <v>0.1132</v>
      </c>
      <c r="AA102" s="30" t="s">
        <v>274</v>
      </c>
      <c r="AB102" s="30">
        <v>7.0400000000000004E-2</v>
      </c>
      <c r="AC102" s="30">
        <v>1.5900000000000001E-2</v>
      </c>
      <c r="AF102" s="13">
        <v>22</v>
      </c>
      <c r="AG102" s="13" t="s">
        <v>315</v>
      </c>
      <c r="AH102" s="13">
        <v>4.6300000000000001E-2</v>
      </c>
      <c r="AI102" s="13">
        <v>5.8200000000000002E-2</v>
      </c>
      <c r="AJ102" s="13">
        <v>5.45E-2</v>
      </c>
      <c r="AK102" s="13">
        <v>3.6200000000000003E-2</v>
      </c>
      <c r="AL102" s="13">
        <v>8.2000000000000007E-3</v>
      </c>
      <c r="AM102" s="13" t="s">
        <v>275</v>
      </c>
      <c r="AN102" s="13">
        <v>-4.6300000000000001E-2</v>
      </c>
      <c r="AO102" s="13">
        <v>-5.8200000000000002E-2</v>
      </c>
      <c r="AP102" s="13">
        <v>-5.45E-2</v>
      </c>
      <c r="AQ102" s="13">
        <v>-3.6200000000000003E-2</v>
      </c>
      <c r="AR102" s="13">
        <v>-8.2000000000000007E-3</v>
      </c>
      <c r="AU102" s="13">
        <v>22</v>
      </c>
      <c r="AV102" s="13">
        <v>2.1399999999999999E-2</v>
      </c>
      <c r="AW102" s="13" t="s">
        <v>276</v>
      </c>
      <c r="AX102" s="13">
        <v>5.6500000000000002E-2</v>
      </c>
      <c r="AY102" s="13">
        <v>5.2900000000000003E-2</v>
      </c>
      <c r="AZ102" s="13">
        <v>3.5099999999999999E-2</v>
      </c>
      <c r="BA102" s="13">
        <v>7.9000000000000008E-3</v>
      </c>
      <c r="BB102" s="13">
        <v>-2.1399999999999999E-2</v>
      </c>
      <c r="BC102" s="13" t="s">
        <v>277</v>
      </c>
      <c r="BD102" s="13">
        <v>-5.6500000000000002E-2</v>
      </c>
      <c r="BE102" s="13">
        <v>-5.2900000000000003E-2</v>
      </c>
      <c r="BF102" s="13">
        <v>-3.5099999999999999E-2</v>
      </c>
      <c r="BG102" s="13">
        <v>-7.9000000000000008E-3</v>
      </c>
      <c r="BJ102" s="13">
        <v>22</v>
      </c>
      <c r="BK102" s="13" t="s">
        <v>279</v>
      </c>
      <c r="BL102" s="13" t="s">
        <v>278</v>
      </c>
      <c r="BM102" s="13">
        <v>5.28E-2</v>
      </c>
      <c r="BN102" s="13">
        <v>4.9399999999999999E-2</v>
      </c>
      <c r="BO102" s="13">
        <v>3.2800000000000003E-2</v>
      </c>
      <c r="BP102" s="13">
        <v>7.4000000000000003E-3</v>
      </c>
      <c r="BQ102" s="13" t="s">
        <v>281</v>
      </c>
      <c r="BR102" s="13" t="s">
        <v>280</v>
      </c>
      <c r="BS102" s="13">
        <v>-5.28E-2</v>
      </c>
      <c r="BT102" s="13">
        <v>-4.9399999999999999E-2</v>
      </c>
      <c r="BU102" s="13">
        <v>-3.2800000000000003E-2</v>
      </c>
      <c r="BV102" s="13">
        <v>-7.4000000000000003E-3</v>
      </c>
    </row>
    <row r="103" spans="2:74" ht="16" thickBot="1" x14ac:dyDescent="0.4">
      <c r="B103" s="33">
        <v>23</v>
      </c>
      <c r="C103" s="33">
        <v>-7.2300000000000003E-2</v>
      </c>
      <c r="D103" s="33">
        <v>-0.14779999999999999</v>
      </c>
      <c r="E103" s="33">
        <v>-0.1837</v>
      </c>
      <c r="F103" s="33">
        <v>-0.1704</v>
      </c>
      <c r="G103" s="33">
        <v>-0.1114</v>
      </c>
      <c r="H103" s="33">
        <v>-2.2599999999999999E-2</v>
      </c>
      <c r="I103" s="33">
        <v>7.2300000000000003E-2</v>
      </c>
      <c r="J103" s="33">
        <v>0.14779999999999999</v>
      </c>
      <c r="K103" s="33">
        <v>0.1837</v>
      </c>
      <c r="L103" s="33">
        <v>0.1704</v>
      </c>
      <c r="M103" s="33">
        <v>0.1114</v>
      </c>
      <c r="N103" s="33">
        <v>2.2599999999999999E-2</v>
      </c>
      <c r="Q103" s="30" t="s">
        <v>81</v>
      </c>
      <c r="R103" s="30">
        <v>-4.4699999999999997E-2</v>
      </c>
      <c r="S103" s="30">
        <v>-9.1300000000000006E-2</v>
      </c>
      <c r="T103" s="30">
        <v>-0.1135</v>
      </c>
      <c r="U103" s="30">
        <v>-0.1052</v>
      </c>
      <c r="V103" s="30">
        <v>-6.88E-2</v>
      </c>
      <c r="W103" s="30">
        <v>-1.3899999999999999E-2</v>
      </c>
      <c r="X103" s="30">
        <v>4.4699999999999997E-2</v>
      </c>
      <c r="Y103" s="30">
        <v>9.1300000000000006E-2</v>
      </c>
      <c r="Z103" s="30">
        <v>0.1135</v>
      </c>
      <c r="AA103" s="30">
        <v>0.1052</v>
      </c>
      <c r="AB103" s="30">
        <v>6.88E-2</v>
      </c>
      <c r="AC103" s="30">
        <v>1.3899999999999999E-2</v>
      </c>
      <c r="AF103" s="13">
        <v>23</v>
      </c>
      <c r="AG103" s="13" t="s">
        <v>316</v>
      </c>
      <c r="AH103" s="13" t="s">
        <v>268</v>
      </c>
      <c r="AI103" s="13">
        <v>5.8400000000000001E-2</v>
      </c>
      <c r="AJ103" s="13">
        <v>5.4100000000000002E-2</v>
      </c>
      <c r="AK103" s="13">
        <v>3.5400000000000001E-2</v>
      </c>
      <c r="AL103" s="13">
        <v>7.1999999999999998E-3</v>
      </c>
      <c r="AM103" s="13" t="s">
        <v>270</v>
      </c>
      <c r="AN103" s="13" t="s">
        <v>269</v>
      </c>
      <c r="AO103" s="13">
        <v>-5.8400000000000001E-2</v>
      </c>
      <c r="AP103" s="13">
        <v>-5.4100000000000002E-2</v>
      </c>
      <c r="AQ103" s="13">
        <v>-3.5400000000000001E-2</v>
      </c>
      <c r="AR103" s="13">
        <v>-7.1999999999999998E-3</v>
      </c>
      <c r="AU103" s="13">
        <v>23</v>
      </c>
      <c r="AV103" s="13">
        <v>2.23E-2</v>
      </c>
      <c r="AW103" s="13">
        <v>4.5600000000000002E-2</v>
      </c>
      <c r="AX103" s="13">
        <v>5.6599999999999998E-2</v>
      </c>
      <c r="AY103" s="13">
        <v>5.2499999999999998E-2</v>
      </c>
      <c r="AZ103" s="13">
        <v>3.4299999999999997E-2</v>
      </c>
      <c r="BA103" s="13" t="s">
        <v>271</v>
      </c>
      <c r="BB103" s="13">
        <v>-2.23E-2</v>
      </c>
      <c r="BC103" s="13">
        <v>-4.5600000000000002E-2</v>
      </c>
      <c r="BD103" s="13">
        <v>-5.6599999999999998E-2</v>
      </c>
      <c r="BE103" s="13">
        <v>-5.2499999999999998E-2</v>
      </c>
      <c r="BF103" s="13">
        <v>-3.4299999999999997E-2</v>
      </c>
      <c r="BG103" s="13" t="s">
        <v>272</v>
      </c>
      <c r="BJ103" s="13">
        <v>23</v>
      </c>
      <c r="BK103" s="13">
        <v>2.0799999999999999E-2</v>
      </c>
      <c r="BL103" s="13">
        <v>4.2599999999999999E-2</v>
      </c>
      <c r="BM103" s="13">
        <v>5.2900000000000003E-2</v>
      </c>
      <c r="BN103" s="13">
        <v>4.9099999999999998E-2</v>
      </c>
      <c r="BO103" s="13">
        <v>3.2099999999999997E-2</v>
      </c>
      <c r="BP103" s="13">
        <v>6.4999999999999997E-3</v>
      </c>
      <c r="BQ103" s="13">
        <v>-2.0799999999999999E-2</v>
      </c>
      <c r="BR103" s="13">
        <v>-4.2599999999999999E-2</v>
      </c>
      <c r="BS103" s="13">
        <v>-5.2900000000000003E-2</v>
      </c>
      <c r="BT103" s="13">
        <v>-4.9099999999999998E-2</v>
      </c>
      <c r="BU103" s="13">
        <v>-3.2099999999999997E-2</v>
      </c>
      <c r="BV103" s="13">
        <v>-6.4999999999999997E-3</v>
      </c>
    </row>
    <row r="104" spans="2:74" ht="16" thickBot="1" x14ac:dyDescent="0.4">
      <c r="B104" s="33">
        <v>24</v>
      </c>
      <c r="C104" s="33">
        <v>-7.5300000000000006E-2</v>
      </c>
      <c r="D104" s="33">
        <v>-0.14979999999999999</v>
      </c>
      <c r="E104" s="33">
        <v>-0.18410000000000001</v>
      </c>
      <c r="F104" s="33">
        <v>-0.1691</v>
      </c>
      <c r="G104" s="33">
        <v>-0.10879999999999999</v>
      </c>
      <c r="H104" s="33">
        <v>-1.9300000000000001E-2</v>
      </c>
      <c r="I104" s="33">
        <v>7.5300000000000006E-2</v>
      </c>
      <c r="J104" s="33">
        <v>0.14979999999999999</v>
      </c>
      <c r="K104" s="33">
        <v>0.18410000000000001</v>
      </c>
      <c r="L104" s="33">
        <v>0.1691</v>
      </c>
      <c r="M104" s="33">
        <v>0.10879999999999999</v>
      </c>
      <c r="N104" s="33">
        <v>1.9300000000000001E-2</v>
      </c>
      <c r="Q104" s="30" t="s">
        <v>82</v>
      </c>
      <c r="R104" s="30">
        <v>-4.65E-2</v>
      </c>
      <c r="S104" s="30">
        <v>-9.2499999999999999E-2</v>
      </c>
      <c r="T104" s="30">
        <v>-0.1137</v>
      </c>
      <c r="U104" s="30">
        <v>-0.10440000000000001</v>
      </c>
      <c r="V104" s="30">
        <v>-6.7199999999999996E-2</v>
      </c>
      <c r="W104" s="30" t="s">
        <v>66</v>
      </c>
      <c r="X104" s="30">
        <v>4.65E-2</v>
      </c>
      <c r="Y104" s="30">
        <v>9.2499999999999999E-2</v>
      </c>
      <c r="Z104" s="30">
        <v>0.1137</v>
      </c>
      <c r="AA104" s="30">
        <v>0.10440000000000001</v>
      </c>
      <c r="AB104" s="30">
        <v>6.7199999999999996E-2</v>
      </c>
      <c r="AC104" s="30" t="s">
        <v>76</v>
      </c>
      <c r="AF104" s="13">
        <v>24</v>
      </c>
      <c r="AG104" s="13">
        <v>2.3900000000000001E-2</v>
      </c>
      <c r="AH104" s="13">
        <v>4.7600000000000003E-2</v>
      </c>
      <c r="AI104" s="13">
        <v>5.8500000000000003E-2</v>
      </c>
      <c r="AJ104" s="13">
        <v>5.3699999999999998E-2</v>
      </c>
      <c r="AK104" s="13">
        <v>3.4599999999999999E-2</v>
      </c>
      <c r="AL104" s="13">
        <v>6.1000000000000004E-3</v>
      </c>
      <c r="AM104" s="13">
        <v>-2.3900000000000001E-2</v>
      </c>
      <c r="AN104" s="13">
        <v>-4.7600000000000003E-2</v>
      </c>
      <c r="AO104" s="13">
        <v>-5.8500000000000003E-2</v>
      </c>
      <c r="AP104" s="13">
        <v>-5.3699999999999998E-2</v>
      </c>
      <c r="AQ104" s="13">
        <v>-3.4599999999999999E-2</v>
      </c>
      <c r="AR104" s="13">
        <v>-6.1000000000000004E-3</v>
      </c>
      <c r="AU104" s="13">
        <v>24</v>
      </c>
      <c r="AV104" s="13">
        <v>2.3199999999999998E-2</v>
      </c>
      <c r="AW104" s="13">
        <v>4.6199999999999998E-2</v>
      </c>
      <c r="AX104" s="13">
        <v>5.6800000000000003E-2</v>
      </c>
      <c r="AY104" s="13">
        <v>5.21E-2</v>
      </c>
      <c r="AZ104" s="13">
        <v>3.3500000000000002E-2</v>
      </c>
      <c r="BA104" s="13" t="s">
        <v>57</v>
      </c>
      <c r="BB104" s="13">
        <v>-2.3199999999999998E-2</v>
      </c>
      <c r="BC104" s="13">
        <v>-4.6199999999999998E-2</v>
      </c>
      <c r="BD104" s="13">
        <v>-5.6800000000000003E-2</v>
      </c>
      <c r="BE104" s="13">
        <v>-5.21E-2</v>
      </c>
      <c r="BF104" s="13">
        <v>-3.3500000000000002E-2</v>
      </c>
      <c r="BG104" s="13" t="s">
        <v>58</v>
      </c>
      <c r="BJ104" s="13">
        <v>24</v>
      </c>
      <c r="BK104" s="13">
        <v>2.1700000000000001E-2</v>
      </c>
      <c r="BL104" s="13">
        <v>4.3099999999999999E-2</v>
      </c>
      <c r="BM104" s="13" t="s">
        <v>266</v>
      </c>
      <c r="BN104" s="13">
        <v>4.87E-2</v>
      </c>
      <c r="BO104" s="13">
        <v>3.1300000000000001E-2</v>
      </c>
      <c r="BP104" s="13">
        <v>5.5999999999999999E-3</v>
      </c>
      <c r="BQ104" s="13">
        <v>-2.1700000000000001E-2</v>
      </c>
      <c r="BR104" s="13">
        <v>-4.3099999999999999E-2</v>
      </c>
      <c r="BS104" s="13" t="s">
        <v>267</v>
      </c>
      <c r="BT104" s="13">
        <v>-4.87E-2</v>
      </c>
      <c r="BU104" s="13">
        <v>-3.1300000000000001E-2</v>
      </c>
      <c r="BV104" s="13">
        <v>-5.5999999999999999E-3</v>
      </c>
    </row>
    <row r="105" spans="2:74" ht="16" thickBot="1" x14ac:dyDescent="0.4">
      <c r="B105" s="33">
        <v>25</v>
      </c>
      <c r="C105" s="33">
        <v>-7.8200000000000006E-2</v>
      </c>
      <c r="D105" s="33">
        <v>-0.15160000000000001</v>
      </c>
      <c r="E105" s="33">
        <v>-0.18440000000000001</v>
      </c>
      <c r="F105" s="33">
        <v>-0.1678</v>
      </c>
      <c r="G105" s="33">
        <v>-0.1062</v>
      </c>
      <c r="H105" s="33">
        <v>-1.61E-2</v>
      </c>
      <c r="I105" s="33">
        <v>7.8200000000000006E-2</v>
      </c>
      <c r="J105" s="33">
        <v>0.15160000000000001</v>
      </c>
      <c r="K105" s="33">
        <v>0.18440000000000001</v>
      </c>
      <c r="L105" s="33">
        <v>0.1678</v>
      </c>
      <c r="M105" s="33">
        <v>0.1062</v>
      </c>
      <c r="N105" s="33">
        <v>1.61E-2</v>
      </c>
      <c r="Q105" s="30" t="s">
        <v>83</v>
      </c>
      <c r="R105" s="30">
        <v>-4.8300000000000003E-2</v>
      </c>
      <c r="S105" s="30">
        <v>-9.3700000000000006E-2</v>
      </c>
      <c r="T105" s="30">
        <v>-0.1139</v>
      </c>
      <c r="U105" s="30">
        <v>-0.1036</v>
      </c>
      <c r="V105" s="30">
        <v>-6.5600000000000006E-2</v>
      </c>
      <c r="W105" s="30" t="s">
        <v>264</v>
      </c>
      <c r="X105" s="30">
        <v>4.8300000000000003E-2</v>
      </c>
      <c r="Y105" s="30">
        <v>9.3700000000000006E-2</v>
      </c>
      <c r="Z105" s="30">
        <v>0.1139</v>
      </c>
      <c r="AA105" s="30">
        <v>0.1036</v>
      </c>
      <c r="AB105" s="30">
        <v>6.5600000000000006E-2</v>
      </c>
      <c r="AC105" s="30" t="s">
        <v>265</v>
      </c>
      <c r="AF105" s="13">
        <v>25</v>
      </c>
      <c r="AG105" s="13">
        <v>2.4799999999999999E-2</v>
      </c>
      <c r="AH105" s="13">
        <v>4.82E-2</v>
      </c>
      <c r="AI105" s="13">
        <v>5.8599999999999999E-2</v>
      </c>
      <c r="AJ105" s="13">
        <v>5.33E-2</v>
      </c>
      <c r="AK105" s="13">
        <v>3.3700000000000001E-2</v>
      </c>
      <c r="AL105" s="13">
        <v>5.1000000000000004E-3</v>
      </c>
      <c r="AM105" s="13">
        <v>-2.4799999999999999E-2</v>
      </c>
      <c r="AN105" s="13">
        <v>-4.82E-2</v>
      </c>
      <c r="AO105" s="13">
        <v>-5.8599999999999999E-2</v>
      </c>
      <c r="AP105" s="13">
        <v>-5.33E-2</v>
      </c>
      <c r="AQ105" s="13">
        <v>-3.3700000000000001E-2</v>
      </c>
      <c r="AR105" s="13">
        <v>-5.1000000000000004E-3</v>
      </c>
      <c r="AU105" s="13">
        <v>25</v>
      </c>
      <c r="AV105" s="13">
        <v>2.41E-2</v>
      </c>
      <c r="AW105" s="13">
        <v>4.6699999999999998E-2</v>
      </c>
      <c r="AX105" s="13">
        <v>5.6800000000000003E-2</v>
      </c>
      <c r="AY105" s="13">
        <v>5.1700000000000003E-2</v>
      </c>
      <c r="AZ105" s="13">
        <v>3.27E-2</v>
      </c>
      <c r="BA105" s="13" t="s">
        <v>65</v>
      </c>
      <c r="BB105" s="13">
        <v>-2.41E-2</v>
      </c>
      <c r="BC105" s="13">
        <v>-4.6699999999999998E-2</v>
      </c>
      <c r="BD105" s="13">
        <v>-5.6800000000000003E-2</v>
      </c>
      <c r="BE105" s="13">
        <v>-5.1700000000000003E-2</v>
      </c>
      <c r="BF105" s="13">
        <v>-3.27E-2</v>
      </c>
      <c r="BG105" s="13" t="s">
        <v>67</v>
      </c>
      <c r="BJ105" s="13">
        <v>25</v>
      </c>
      <c r="BK105" s="13">
        <v>2.2499999999999999E-2</v>
      </c>
      <c r="BL105" s="13">
        <v>4.3700000000000003E-2</v>
      </c>
      <c r="BM105" s="13">
        <v>5.3100000000000001E-2</v>
      </c>
      <c r="BN105" s="13">
        <v>4.8300000000000003E-2</v>
      </c>
      <c r="BO105" s="13">
        <v>3.0599999999999999E-2</v>
      </c>
      <c r="BP105" s="13">
        <v>4.5999999999999999E-3</v>
      </c>
      <c r="BQ105" s="13">
        <v>-2.2499999999999999E-2</v>
      </c>
      <c r="BR105" s="13">
        <v>-4.3700000000000003E-2</v>
      </c>
      <c r="BS105" s="13">
        <v>-5.3100000000000001E-2</v>
      </c>
      <c r="BT105" s="13">
        <v>-4.8300000000000003E-2</v>
      </c>
      <c r="BU105" s="13">
        <v>-3.0599999999999999E-2</v>
      </c>
      <c r="BV105" s="13">
        <v>-4.5999999999999999E-3</v>
      </c>
    </row>
    <row r="106" spans="2:74" ht="16" thickBot="1" x14ac:dyDescent="0.4">
      <c r="B106" s="33">
        <v>26</v>
      </c>
      <c r="C106" s="33">
        <v>-8.1100000000000005E-2</v>
      </c>
      <c r="D106" s="33">
        <v>-0.1535</v>
      </c>
      <c r="E106" s="33">
        <v>-0.1847</v>
      </c>
      <c r="F106" s="33">
        <v>-0.16639999999999999</v>
      </c>
      <c r="G106" s="33">
        <v>-0.10349999999999999</v>
      </c>
      <c r="H106" s="33">
        <v>-1.29E-2</v>
      </c>
      <c r="I106" s="33">
        <v>8.1100000000000005E-2</v>
      </c>
      <c r="J106" s="33">
        <v>0.1535</v>
      </c>
      <c r="K106" s="33">
        <v>0.1847</v>
      </c>
      <c r="L106" s="33">
        <v>0.16639999999999999</v>
      </c>
      <c r="M106" s="33">
        <v>0.10349999999999999</v>
      </c>
      <c r="N106" s="33">
        <v>1.29E-2</v>
      </c>
      <c r="Q106" s="30" t="s">
        <v>84</v>
      </c>
      <c r="R106" s="30">
        <v>-5.0099999999999999E-2</v>
      </c>
      <c r="S106" s="30">
        <v>-9.4799999999999995E-2</v>
      </c>
      <c r="T106" s="30">
        <v>-0.11409999999999999</v>
      </c>
      <c r="U106" s="30">
        <v>-0.1028</v>
      </c>
      <c r="V106" s="30">
        <v>-6.3899999999999998E-2</v>
      </c>
      <c r="W106" s="30" t="s">
        <v>262</v>
      </c>
      <c r="X106" s="30">
        <v>5.0099999999999999E-2</v>
      </c>
      <c r="Y106" s="30">
        <v>9.4799999999999995E-2</v>
      </c>
      <c r="Z106" s="30">
        <v>0.11409999999999999</v>
      </c>
      <c r="AA106" s="30">
        <v>0.1028</v>
      </c>
      <c r="AB106" s="30">
        <v>6.3899999999999998E-2</v>
      </c>
      <c r="AC106" s="30" t="s">
        <v>263</v>
      </c>
      <c r="AF106" s="13">
        <v>26</v>
      </c>
      <c r="AG106" s="13">
        <v>2.58E-2</v>
      </c>
      <c r="AH106" s="13">
        <v>4.87E-2</v>
      </c>
      <c r="AI106" s="13">
        <v>5.8599999999999999E-2</v>
      </c>
      <c r="AJ106" s="13">
        <v>5.28E-2</v>
      </c>
      <c r="AK106" s="13">
        <v>3.2899999999999999E-2</v>
      </c>
      <c r="AL106" s="13">
        <v>4.1000000000000003E-3</v>
      </c>
      <c r="AM106" s="13">
        <v>-2.58E-2</v>
      </c>
      <c r="AN106" s="13">
        <v>-4.87E-2</v>
      </c>
      <c r="AO106" s="13">
        <v>-5.8599999999999999E-2</v>
      </c>
      <c r="AP106" s="13">
        <v>-5.28E-2</v>
      </c>
      <c r="AQ106" s="13">
        <v>-3.2899999999999999E-2</v>
      </c>
      <c r="AR106" s="13">
        <v>-4.1000000000000003E-3</v>
      </c>
      <c r="AU106" s="13">
        <v>26</v>
      </c>
      <c r="AV106" s="13" t="s">
        <v>253</v>
      </c>
      <c r="AW106" s="13">
        <v>4.7300000000000002E-2</v>
      </c>
      <c r="AX106" s="13">
        <v>5.6899999999999999E-2</v>
      </c>
      <c r="AY106" s="13">
        <v>5.1299999999999998E-2</v>
      </c>
      <c r="AZ106" s="13">
        <v>3.1899999999999998E-2</v>
      </c>
      <c r="BA106" s="13" t="s">
        <v>249</v>
      </c>
      <c r="BB106" s="13" t="s">
        <v>254</v>
      </c>
      <c r="BC106" s="13">
        <v>-4.7300000000000002E-2</v>
      </c>
      <c r="BD106" s="13">
        <v>-5.6899999999999999E-2</v>
      </c>
      <c r="BE106" s="13">
        <v>-5.1299999999999998E-2</v>
      </c>
      <c r="BF106" s="13">
        <v>-3.1899999999999998E-2</v>
      </c>
      <c r="BG106" s="13" t="s">
        <v>247</v>
      </c>
      <c r="BJ106" s="13">
        <v>26</v>
      </c>
      <c r="BK106" s="13">
        <v>2.3400000000000001E-2</v>
      </c>
      <c r="BL106" s="13">
        <v>4.4200000000000003E-2</v>
      </c>
      <c r="BM106" s="13">
        <v>5.3199999999999997E-2</v>
      </c>
      <c r="BN106" s="13">
        <v>4.7899999999999998E-2</v>
      </c>
      <c r="BO106" s="13">
        <v>2.98E-2</v>
      </c>
      <c r="BP106" s="13">
        <v>3.7000000000000002E-3</v>
      </c>
      <c r="BQ106" s="13">
        <v>-2.3400000000000001E-2</v>
      </c>
      <c r="BR106" s="13">
        <v>-4.4200000000000003E-2</v>
      </c>
      <c r="BS106" s="13">
        <v>-5.3199999999999997E-2</v>
      </c>
      <c r="BT106" s="13">
        <v>-4.7899999999999998E-2</v>
      </c>
      <c r="BU106" s="13">
        <v>-2.98E-2</v>
      </c>
      <c r="BV106" s="13">
        <v>-3.7000000000000002E-3</v>
      </c>
    </row>
    <row r="107" spans="2:74" ht="16" thickBot="1" x14ac:dyDescent="0.4">
      <c r="B107" s="33">
        <v>27</v>
      </c>
      <c r="C107" s="33" t="s">
        <v>324</v>
      </c>
      <c r="D107" s="33">
        <v>-0.15529999999999999</v>
      </c>
      <c r="E107" s="33">
        <v>-0.18490000000000001</v>
      </c>
      <c r="F107" s="33">
        <v>-0.16489999999999999</v>
      </c>
      <c r="G107" s="33">
        <v>-0.1008</v>
      </c>
      <c r="H107" s="33">
        <v>-9.7000000000000003E-3</v>
      </c>
      <c r="I107" s="33" t="s">
        <v>255</v>
      </c>
      <c r="J107" s="33">
        <v>0.15529999999999999</v>
      </c>
      <c r="K107" s="33">
        <v>0.18490000000000001</v>
      </c>
      <c r="L107" s="33">
        <v>0.16489999999999999</v>
      </c>
      <c r="M107" s="33">
        <v>0.1008</v>
      </c>
      <c r="N107" s="33">
        <v>9.7000000000000003E-3</v>
      </c>
      <c r="Q107" s="30" t="s">
        <v>86</v>
      </c>
      <c r="R107" s="30">
        <v>-5.1900000000000002E-2</v>
      </c>
      <c r="S107" s="30">
        <v>-9.5899999999999999E-2</v>
      </c>
      <c r="T107" s="30">
        <v>-0.1142</v>
      </c>
      <c r="U107" s="30">
        <v>-0.1019</v>
      </c>
      <c r="V107" s="30">
        <v>-6.2300000000000001E-2</v>
      </c>
      <c r="W107" s="30" t="s">
        <v>58</v>
      </c>
      <c r="X107" s="30">
        <v>5.1900000000000002E-2</v>
      </c>
      <c r="Y107" s="30">
        <v>9.5899999999999999E-2</v>
      </c>
      <c r="Z107" s="30">
        <v>0.1142</v>
      </c>
      <c r="AA107" s="30">
        <v>0.1019</v>
      </c>
      <c r="AB107" s="30">
        <v>6.2300000000000001E-2</v>
      </c>
      <c r="AC107" s="30" t="s">
        <v>57</v>
      </c>
      <c r="AF107" s="13">
        <v>27</v>
      </c>
      <c r="AG107" s="13">
        <v>2.6700000000000002E-2</v>
      </c>
      <c r="AH107" s="13">
        <v>4.9299999999999997E-2</v>
      </c>
      <c r="AI107" s="13">
        <v>5.8700000000000002E-2</v>
      </c>
      <c r="AJ107" s="13">
        <v>5.2400000000000002E-2</v>
      </c>
      <c r="AK107" s="13" t="s">
        <v>256</v>
      </c>
      <c r="AL107" s="13">
        <v>3.0999999999999999E-3</v>
      </c>
      <c r="AM107" s="13">
        <v>-2.6700000000000002E-2</v>
      </c>
      <c r="AN107" s="13">
        <v>-4.9299999999999997E-2</v>
      </c>
      <c r="AO107" s="13">
        <v>-5.8700000000000002E-2</v>
      </c>
      <c r="AP107" s="13">
        <v>-5.2400000000000002E-2</v>
      </c>
      <c r="AQ107" s="13" t="s">
        <v>257</v>
      </c>
      <c r="AR107" s="13">
        <v>-3.0999999999999999E-3</v>
      </c>
      <c r="AU107" s="13">
        <v>27</v>
      </c>
      <c r="AV107" s="13">
        <v>2.5899999999999999E-2</v>
      </c>
      <c r="AW107" s="13">
        <v>4.7899999999999998E-2</v>
      </c>
      <c r="AX107" s="13" t="s">
        <v>251</v>
      </c>
      <c r="AY107" s="13">
        <v>5.0799999999999998E-2</v>
      </c>
      <c r="AZ107" s="13">
        <v>3.1099999999999999E-2</v>
      </c>
      <c r="BA107" s="13" t="s">
        <v>258</v>
      </c>
      <c r="BB107" s="13">
        <v>-2.5899999999999999E-2</v>
      </c>
      <c r="BC107" s="13">
        <v>-4.7899999999999998E-2</v>
      </c>
      <c r="BD107" s="13" t="s">
        <v>252</v>
      </c>
      <c r="BE107" s="13">
        <v>-5.0799999999999998E-2</v>
      </c>
      <c r="BF107" s="13">
        <v>-3.1099999999999999E-2</v>
      </c>
      <c r="BG107" s="13" t="s">
        <v>259</v>
      </c>
      <c r="BJ107" s="13">
        <v>27</v>
      </c>
      <c r="BK107" s="13">
        <v>2.4199999999999999E-2</v>
      </c>
      <c r="BL107" s="13">
        <v>4.4699999999999997E-2</v>
      </c>
      <c r="BM107" s="13">
        <v>5.3199999999999997E-2</v>
      </c>
      <c r="BN107" s="13">
        <v>4.7500000000000001E-2</v>
      </c>
      <c r="BO107" s="13" t="s">
        <v>260</v>
      </c>
      <c r="BP107" s="13">
        <v>2.8E-3</v>
      </c>
      <c r="BQ107" s="13">
        <v>-2.4199999999999999E-2</v>
      </c>
      <c r="BR107" s="13">
        <v>-4.4699999999999997E-2</v>
      </c>
      <c r="BS107" s="13">
        <v>-5.3199999999999997E-2</v>
      </c>
      <c r="BT107" s="13">
        <v>-4.7500000000000001E-2</v>
      </c>
      <c r="BU107" s="13" t="s">
        <v>261</v>
      </c>
      <c r="BV107" s="13">
        <v>-2.8E-3</v>
      </c>
    </row>
    <row r="108" spans="2:74" ht="16" thickBot="1" x14ac:dyDescent="0.4">
      <c r="B108" s="33">
        <v>28</v>
      </c>
      <c r="C108" s="33">
        <v>-8.6900000000000005E-2</v>
      </c>
      <c r="D108" s="33" t="s">
        <v>317</v>
      </c>
      <c r="E108" s="33" t="s">
        <v>323</v>
      </c>
      <c r="F108" s="33">
        <v>-0.16339999999999999</v>
      </c>
      <c r="G108" s="33">
        <v>-9.8100000000000007E-2</v>
      </c>
      <c r="H108" s="33">
        <v>-6.4999999999999997E-3</v>
      </c>
      <c r="I108" s="33">
        <v>8.6900000000000005E-2</v>
      </c>
      <c r="J108" s="33" t="s">
        <v>246</v>
      </c>
      <c r="K108" s="33" t="s">
        <v>245</v>
      </c>
      <c r="L108" s="33">
        <v>0.16339999999999999</v>
      </c>
      <c r="M108" s="33">
        <v>9.8100000000000007E-2</v>
      </c>
      <c r="N108" s="33">
        <v>6.4999999999999997E-3</v>
      </c>
      <c r="Q108" s="30" t="s">
        <v>87</v>
      </c>
      <c r="R108" s="30">
        <v>-5.3699999999999998E-2</v>
      </c>
      <c r="S108" s="30" t="s">
        <v>248</v>
      </c>
      <c r="T108" s="30">
        <v>-0.1143</v>
      </c>
      <c r="U108" s="30">
        <v>-0.1009</v>
      </c>
      <c r="V108" s="30">
        <v>-6.0600000000000001E-2</v>
      </c>
      <c r="W108" s="30" t="s">
        <v>247</v>
      </c>
      <c r="X108" s="30">
        <v>5.3699999999999998E-2</v>
      </c>
      <c r="Y108" s="30" t="s">
        <v>250</v>
      </c>
      <c r="Z108" s="30">
        <v>0.1143</v>
      </c>
      <c r="AA108" s="30">
        <v>0.1009</v>
      </c>
      <c r="AB108" s="30">
        <v>6.0600000000000001E-2</v>
      </c>
      <c r="AC108" s="30" t="s">
        <v>249</v>
      </c>
      <c r="AF108" s="13">
        <v>28</v>
      </c>
      <c r="AG108" s="13">
        <v>2.76E-2</v>
      </c>
      <c r="AH108" s="13">
        <v>4.99E-2</v>
      </c>
      <c r="AI108" s="13">
        <v>5.8799999999999998E-2</v>
      </c>
      <c r="AJ108" s="13">
        <v>5.1900000000000002E-2</v>
      </c>
      <c r="AK108" s="13">
        <v>3.1199999999999999E-2</v>
      </c>
      <c r="AL108" s="13">
        <v>2.0999999999999999E-3</v>
      </c>
      <c r="AM108" s="13">
        <v>-2.76E-2</v>
      </c>
      <c r="AN108" s="13">
        <v>-4.99E-2</v>
      </c>
      <c r="AO108" s="13">
        <v>-5.8799999999999998E-2</v>
      </c>
      <c r="AP108" s="13">
        <v>-5.1900000000000002E-2</v>
      </c>
      <c r="AQ108" s="13">
        <v>-3.1199999999999999E-2</v>
      </c>
      <c r="AR108" s="13">
        <v>-2.0999999999999999E-3</v>
      </c>
      <c r="AU108" s="13">
        <v>28</v>
      </c>
      <c r="AV108" s="13">
        <v>2.6800000000000001E-2</v>
      </c>
      <c r="AW108" s="13">
        <v>4.8399999999999999E-2</v>
      </c>
      <c r="AX108" s="13" t="s">
        <v>251</v>
      </c>
      <c r="AY108" s="13">
        <v>5.04E-2</v>
      </c>
      <c r="AZ108" s="13">
        <v>3.0200000000000001E-2</v>
      </c>
      <c r="BA108" s="13" t="s">
        <v>54</v>
      </c>
      <c r="BB108" s="13">
        <v>-2.6800000000000001E-2</v>
      </c>
      <c r="BC108" s="13">
        <v>-4.8399999999999999E-2</v>
      </c>
      <c r="BD108" s="13" t="s">
        <v>252</v>
      </c>
      <c r="BE108" s="13">
        <v>-5.04E-2</v>
      </c>
      <c r="BF108" s="13">
        <v>-3.0200000000000001E-2</v>
      </c>
      <c r="BG108" s="13" t="s">
        <v>55</v>
      </c>
      <c r="BJ108" s="13">
        <v>28</v>
      </c>
      <c r="BK108" s="13" t="s">
        <v>253</v>
      </c>
      <c r="BL108" s="13">
        <v>4.5199999999999997E-2</v>
      </c>
      <c r="BM108" s="13">
        <v>5.33E-2</v>
      </c>
      <c r="BN108" s="13">
        <v>4.7100000000000003E-2</v>
      </c>
      <c r="BO108" s="13">
        <v>2.8299999999999999E-2</v>
      </c>
      <c r="BP108" s="13">
        <v>1.9E-3</v>
      </c>
      <c r="BQ108" s="13" t="s">
        <v>254</v>
      </c>
      <c r="BR108" s="13">
        <v>-4.5199999999999997E-2</v>
      </c>
      <c r="BS108" s="13">
        <v>-5.33E-2</v>
      </c>
      <c r="BT108" s="13">
        <v>-4.7100000000000003E-2</v>
      </c>
      <c r="BU108" s="13">
        <v>-2.8299999999999999E-2</v>
      </c>
      <c r="BV108" s="13">
        <v>-1.9E-3</v>
      </c>
    </row>
    <row r="109" spans="2:74" ht="16" thickBot="1" x14ac:dyDescent="0.4">
      <c r="B109" s="33">
        <v>29</v>
      </c>
      <c r="C109" s="33">
        <v>-8.9700000000000002E-2</v>
      </c>
      <c r="D109" s="33">
        <v>-0.15870000000000001</v>
      </c>
      <c r="E109" s="33">
        <v>-0.18509999999999999</v>
      </c>
      <c r="F109" s="33">
        <v>-0.16189999999999999</v>
      </c>
      <c r="G109" s="33">
        <v>-9.5299999999999996E-2</v>
      </c>
      <c r="H109" s="33">
        <v>-3.2000000000000002E-3</v>
      </c>
      <c r="I109" s="33">
        <v>8.9700000000000002E-2</v>
      </c>
      <c r="J109" s="33">
        <v>0.15870000000000001</v>
      </c>
      <c r="K109" s="33">
        <v>0.18509999999999999</v>
      </c>
      <c r="L109" s="33">
        <v>0.16189999999999999</v>
      </c>
      <c r="M109" s="33">
        <v>9.5299999999999996E-2</v>
      </c>
      <c r="N109" s="33">
        <v>3.2000000000000002E-3</v>
      </c>
      <c r="Q109" s="30" t="s">
        <v>88</v>
      </c>
      <c r="R109" s="30">
        <v>-5.5399999999999998E-2</v>
      </c>
      <c r="S109" s="30" t="s">
        <v>240</v>
      </c>
      <c r="T109" s="30">
        <v>-0.1143</v>
      </c>
      <c r="U109" s="30" t="s">
        <v>239</v>
      </c>
      <c r="V109" s="30">
        <v>-5.8900000000000001E-2</v>
      </c>
      <c r="W109" s="30" t="s">
        <v>55</v>
      </c>
      <c r="X109" s="30">
        <v>5.5399999999999998E-2</v>
      </c>
      <c r="Y109" s="30" t="s">
        <v>242</v>
      </c>
      <c r="Z109" s="30">
        <v>0.1143</v>
      </c>
      <c r="AA109" s="30" t="s">
        <v>241</v>
      </c>
      <c r="AB109" s="30">
        <v>5.8900000000000001E-2</v>
      </c>
      <c r="AC109" s="30" t="s">
        <v>54</v>
      </c>
      <c r="AF109" s="13">
        <v>29</v>
      </c>
      <c r="AG109" s="13">
        <v>2.8500000000000001E-2</v>
      </c>
      <c r="AH109" s="13">
        <v>5.04E-2</v>
      </c>
      <c r="AI109" s="13">
        <v>5.8799999999999998E-2</v>
      </c>
      <c r="AJ109" s="13">
        <v>5.1400000000000001E-2</v>
      </c>
      <c r="AK109" s="13">
        <v>3.0300000000000001E-2</v>
      </c>
      <c r="AL109" s="13" t="s">
        <v>243</v>
      </c>
      <c r="AM109" s="13">
        <v>-2.8500000000000001E-2</v>
      </c>
      <c r="AN109" s="13">
        <v>-5.04E-2</v>
      </c>
      <c r="AO109" s="13">
        <v>-5.8799999999999998E-2</v>
      </c>
      <c r="AP109" s="13">
        <v>-5.1400000000000001E-2</v>
      </c>
      <c r="AQ109" s="13">
        <v>-3.0300000000000001E-2</v>
      </c>
      <c r="AR109" s="13" t="s">
        <v>244</v>
      </c>
      <c r="AU109" s="13">
        <v>29</v>
      </c>
      <c r="AV109" s="13">
        <v>2.7699999999999999E-2</v>
      </c>
      <c r="AW109" s="13">
        <v>4.8899999999999999E-2</v>
      </c>
      <c r="AX109" s="13">
        <v>5.7099999999999998E-2</v>
      </c>
      <c r="AY109" s="13">
        <v>4.99E-2</v>
      </c>
      <c r="AZ109" s="13">
        <v>2.9399999999999999E-2</v>
      </c>
      <c r="BA109" s="13" t="s">
        <v>243</v>
      </c>
      <c r="BB109" s="13">
        <v>-2.7699999999999999E-2</v>
      </c>
      <c r="BC109" s="13">
        <v>-4.8899999999999999E-2</v>
      </c>
      <c r="BD109" s="13">
        <v>-5.7099999999999998E-2</v>
      </c>
      <c r="BE109" s="13">
        <v>-4.99E-2</v>
      </c>
      <c r="BF109" s="13">
        <v>-2.9399999999999999E-2</v>
      </c>
      <c r="BG109" s="13" t="s">
        <v>244</v>
      </c>
      <c r="BJ109" s="13">
        <v>29</v>
      </c>
      <c r="BK109" s="13">
        <v>2.5899999999999999E-2</v>
      </c>
      <c r="BL109" s="13">
        <v>4.5699999999999998E-2</v>
      </c>
      <c r="BM109" s="13">
        <v>5.33E-2</v>
      </c>
      <c r="BN109" s="13">
        <v>4.6600000000000003E-2</v>
      </c>
      <c r="BO109" s="13">
        <v>2.75E-2</v>
      </c>
      <c r="BP109" s="13">
        <v>8.9999999999999998E-4</v>
      </c>
      <c r="BQ109" s="13">
        <v>-2.5899999999999999E-2</v>
      </c>
      <c r="BR109" s="13">
        <v>-4.5699999999999998E-2</v>
      </c>
      <c r="BS109" s="13">
        <v>-5.33E-2</v>
      </c>
      <c r="BT109" s="13">
        <v>-4.6600000000000003E-2</v>
      </c>
      <c r="BU109" s="13">
        <v>-2.75E-2</v>
      </c>
      <c r="BV109" s="13">
        <v>-8.9999999999999998E-4</v>
      </c>
    </row>
    <row r="110" spans="2:74" ht="16" thickBot="1" x14ac:dyDescent="0.4">
      <c r="B110" s="33">
        <v>30</v>
      </c>
      <c r="C110" s="33">
        <v>-9.2600000000000002E-2</v>
      </c>
      <c r="D110" s="33">
        <v>-0.1603</v>
      </c>
      <c r="E110" s="33">
        <v>-0.18509999999999999</v>
      </c>
      <c r="F110" s="33">
        <v>-0.1603</v>
      </c>
      <c r="G110" s="33">
        <v>-9.2600000000000002E-2</v>
      </c>
      <c r="H110" s="33" t="s">
        <v>22</v>
      </c>
      <c r="I110" s="33">
        <v>9.2600000000000002E-2</v>
      </c>
      <c r="J110" s="33">
        <v>0.1603</v>
      </c>
      <c r="K110" s="33">
        <v>0.18509999999999999</v>
      </c>
      <c r="L110" s="33">
        <v>0.1603</v>
      </c>
      <c r="M110" s="33">
        <v>9.2600000000000002E-2</v>
      </c>
      <c r="N110" s="33" t="s">
        <v>22</v>
      </c>
      <c r="Q110" s="30" t="s">
        <v>17</v>
      </c>
      <c r="R110" s="30">
        <v>-5.7200000000000001E-2</v>
      </c>
      <c r="S110" s="30" t="s">
        <v>237</v>
      </c>
      <c r="T110" s="30">
        <v>-0.1143</v>
      </c>
      <c r="U110" s="30" t="s">
        <v>237</v>
      </c>
      <c r="V110" s="30">
        <v>-5.7200000000000001E-2</v>
      </c>
      <c r="W110" s="30" t="s">
        <v>22</v>
      </c>
      <c r="X110" s="30">
        <v>5.7200000000000001E-2</v>
      </c>
      <c r="Y110" s="30" t="s">
        <v>238</v>
      </c>
      <c r="Z110" s="30">
        <v>0.1143</v>
      </c>
      <c r="AA110" s="30" t="s">
        <v>238</v>
      </c>
      <c r="AB110" s="30">
        <v>5.7200000000000001E-2</v>
      </c>
      <c r="AC110" s="30" t="s">
        <v>22</v>
      </c>
      <c r="AF110" s="13">
        <v>30</v>
      </c>
      <c r="AG110" s="13">
        <v>2.9399999999999999E-2</v>
      </c>
      <c r="AH110" s="13">
        <v>5.0900000000000001E-2</v>
      </c>
      <c r="AI110" s="13">
        <v>5.8799999999999998E-2</v>
      </c>
      <c r="AJ110" s="13">
        <v>5.0900000000000001E-2</v>
      </c>
      <c r="AK110" s="13">
        <v>2.9399999999999999E-2</v>
      </c>
      <c r="AL110" s="13" t="s">
        <v>22</v>
      </c>
      <c r="AM110" s="13">
        <v>-2.9399999999999999E-2</v>
      </c>
      <c r="AN110" s="13">
        <v>-5.0900000000000001E-2</v>
      </c>
      <c r="AO110" s="13">
        <v>-5.8799999999999998E-2</v>
      </c>
      <c r="AP110" s="13">
        <v>-5.0900000000000001E-2</v>
      </c>
      <c r="AQ110" s="13">
        <v>-2.9399999999999999E-2</v>
      </c>
      <c r="AR110" s="13" t="s">
        <v>22</v>
      </c>
      <c r="AU110" s="13">
        <v>30</v>
      </c>
      <c r="AV110" s="13">
        <v>2.8500000000000001E-2</v>
      </c>
      <c r="AW110" s="13">
        <v>4.9399999999999999E-2</v>
      </c>
      <c r="AX110" s="13">
        <v>5.7099999999999998E-2</v>
      </c>
      <c r="AY110" s="13">
        <v>4.9399999999999999E-2</v>
      </c>
      <c r="AZ110" s="13">
        <v>2.8500000000000001E-2</v>
      </c>
      <c r="BA110" s="13" t="s">
        <v>22</v>
      </c>
      <c r="BB110" s="13">
        <v>-2.8500000000000001E-2</v>
      </c>
      <c r="BC110" s="13">
        <v>-4.9399999999999999E-2</v>
      </c>
      <c r="BD110" s="13">
        <v>-5.7099999999999998E-2</v>
      </c>
      <c r="BE110" s="13">
        <v>-4.9399999999999999E-2</v>
      </c>
      <c r="BF110" s="13">
        <v>-2.8500000000000001E-2</v>
      </c>
      <c r="BG110" s="13" t="s">
        <v>22</v>
      </c>
      <c r="BJ110" s="13">
        <v>30</v>
      </c>
      <c r="BK110" s="13">
        <v>2.6700000000000002E-2</v>
      </c>
      <c r="BL110" s="13">
        <v>4.6199999999999998E-2</v>
      </c>
      <c r="BM110" s="13">
        <v>5.33E-2</v>
      </c>
      <c r="BN110" s="13">
        <v>4.6199999999999998E-2</v>
      </c>
      <c r="BO110" s="13">
        <v>2.6700000000000002E-2</v>
      </c>
      <c r="BP110" s="13" t="s">
        <v>22</v>
      </c>
      <c r="BQ110" s="13">
        <v>-2.6700000000000002E-2</v>
      </c>
      <c r="BR110" s="13">
        <v>-4.6199999999999998E-2</v>
      </c>
      <c r="BS110" s="13">
        <v>-5.33E-2</v>
      </c>
      <c r="BT110" s="13">
        <v>-4.6199999999999998E-2</v>
      </c>
      <c r="BU110" s="13">
        <v>-2.6700000000000002E-2</v>
      </c>
      <c r="BV110" s="13" t="s">
        <v>22</v>
      </c>
    </row>
    <row r="113" spans="1:59" ht="15" thickBot="1" x14ac:dyDescent="0.4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</row>
    <row r="114" spans="1:59" ht="16" thickBot="1" x14ac:dyDescent="0.4">
      <c r="A114" s="104"/>
      <c r="B114" s="46" t="s">
        <v>520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8"/>
      <c r="P114" s="15"/>
      <c r="Q114" s="108" t="s">
        <v>539</v>
      </c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10"/>
      <c r="AE114" s="27"/>
      <c r="AF114" s="112" t="s">
        <v>562</v>
      </c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4"/>
      <c r="AT114" s="115"/>
      <c r="AU114" s="80" t="s">
        <v>575</v>
      </c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2"/>
    </row>
    <row r="115" spans="1:59" ht="16" thickBot="1" x14ac:dyDescent="0.4">
      <c r="A115" s="104"/>
      <c r="B115" s="105" t="s">
        <v>15</v>
      </c>
      <c r="C115" s="105" t="s">
        <v>16</v>
      </c>
      <c r="D115" s="105" t="s">
        <v>17</v>
      </c>
      <c r="E115" s="105" t="s">
        <v>18</v>
      </c>
      <c r="F115" s="105" t="s">
        <v>19</v>
      </c>
      <c r="G115" s="105" t="s">
        <v>20</v>
      </c>
      <c r="H115" s="105" t="s">
        <v>21</v>
      </c>
      <c r="I115" s="14">
        <v>180</v>
      </c>
      <c r="J115" s="14">
        <v>210</v>
      </c>
      <c r="K115" s="14">
        <v>240</v>
      </c>
      <c r="L115" s="14">
        <v>270</v>
      </c>
      <c r="M115" s="14">
        <v>300</v>
      </c>
      <c r="N115" s="14">
        <v>330</v>
      </c>
      <c r="P115" s="111"/>
      <c r="Q115" s="105" t="s">
        <v>15</v>
      </c>
      <c r="R115" s="105" t="s">
        <v>16</v>
      </c>
      <c r="S115" s="105" t="s">
        <v>17</v>
      </c>
      <c r="T115" s="105" t="s">
        <v>18</v>
      </c>
      <c r="U115" s="105" t="s">
        <v>19</v>
      </c>
      <c r="V115" s="105" t="s">
        <v>20</v>
      </c>
      <c r="W115" s="105" t="s">
        <v>21</v>
      </c>
      <c r="X115" s="14" t="s">
        <v>36</v>
      </c>
      <c r="Y115" s="14" t="s">
        <v>37</v>
      </c>
      <c r="Z115" s="14" t="s">
        <v>38</v>
      </c>
      <c r="AA115" s="14" t="s">
        <v>39</v>
      </c>
      <c r="AB115" s="14" t="s">
        <v>40</v>
      </c>
      <c r="AC115" s="14" t="s">
        <v>41</v>
      </c>
      <c r="AE115" s="27"/>
      <c r="AF115" s="11" t="s">
        <v>15</v>
      </c>
      <c r="AG115" s="11" t="s">
        <v>16</v>
      </c>
      <c r="AH115" s="11" t="s">
        <v>17</v>
      </c>
      <c r="AI115" s="11" t="s">
        <v>18</v>
      </c>
      <c r="AJ115" s="11" t="s">
        <v>19</v>
      </c>
      <c r="AK115" s="11" t="s">
        <v>20</v>
      </c>
      <c r="AL115" s="11" t="s">
        <v>21</v>
      </c>
      <c r="AM115" s="11">
        <v>180</v>
      </c>
      <c r="AN115" s="11">
        <v>210</v>
      </c>
      <c r="AO115" s="11">
        <v>240</v>
      </c>
      <c r="AP115" s="11">
        <v>270</v>
      </c>
      <c r="AQ115" s="11">
        <v>300</v>
      </c>
      <c r="AR115" s="11">
        <v>330</v>
      </c>
      <c r="AT115" s="115"/>
      <c r="AU115" s="116" t="s">
        <v>15</v>
      </c>
      <c r="AV115" s="116">
        <v>0</v>
      </c>
      <c r="AW115" s="116">
        <v>30</v>
      </c>
      <c r="AX115" s="116">
        <v>60</v>
      </c>
      <c r="AY115" s="116">
        <v>90</v>
      </c>
      <c r="AZ115" s="116">
        <v>120</v>
      </c>
      <c r="BA115" s="116">
        <v>150</v>
      </c>
      <c r="BB115" s="11">
        <v>180</v>
      </c>
      <c r="BC115" s="11">
        <v>210</v>
      </c>
      <c r="BD115" s="11">
        <v>240</v>
      </c>
      <c r="BE115" s="11">
        <v>270</v>
      </c>
      <c r="BF115" s="11">
        <v>300</v>
      </c>
      <c r="BG115" s="11">
        <v>330</v>
      </c>
    </row>
    <row r="116" spans="1:59" ht="16" thickBot="1" x14ac:dyDescent="0.4">
      <c r="A116" s="106"/>
      <c r="B116" s="107" t="s">
        <v>16</v>
      </c>
      <c r="C116" s="107" t="s">
        <v>22</v>
      </c>
      <c r="D116" s="107">
        <v>2.5640999999999998</v>
      </c>
      <c r="E116" s="107">
        <v>4.4440999999999997</v>
      </c>
      <c r="F116" s="107">
        <v>5.1281999999999996</v>
      </c>
      <c r="G116" s="107">
        <v>4.4440999999999997</v>
      </c>
      <c r="H116" s="107">
        <v>2.5640999999999998</v>
      </c>
      <c r="I116" s="13" t="s">
        <v>22</v>
      </c>
      <c r="J116" s="13">
        <v>-2.5640999999999998</v>
      </c>
      <c r="K116" s="13">
        <v>-4.4440999999999997</v>
      </c>
      <c r="L116" s="13">
        <v>-5.1281999999999996</v>
      </c>
      <c r="M116" s="13">
        <v>-4.4440999999999997</v>
      </c>
      <c r="N116" s="13">
        <v>-2.5640999999999998</v>
      </c>
      <c r="P116" s="31"/>
      <c r="Q116" s="107" t="s">
        <v>16</v>
      </c>
      <c r="R116" s="107" t="s">
        <v>22</v>
      </c>
      <c r="S116" s="107">
        <v>0.14030000000000001</v>
      </c>
      <c r="T116" s="107" t="s">
        <v>540</v>
      </c>
      <c r="U116" s="107">
        <v>0.28060000000000002</v>
      </c>
      <c r="V116" s="107" t="s">
        <v>540</v>
      </c>
      <c r="W116" s="107">
        <v>0.14030000000000001</v>
      </c>
      <c r="X116" s="13" t="s">
        <v>22</v>
      </c>
      <c r="Y116" s="13">
        <v>-0.14030000000000001</v>
      </c>
      <c r="Z116" s="13" t="s">
        <v>541</v>
      </c>
      <c r="AA116" s="13">
        <v>-0.28060000000000002</v>
      </c>
      <c r="AB116" s="13" t="s">
        <v>541</v>
      </c>
      <c r="AC116" s="13">
        <v>-0.14030000000000001</v>
      </c>
      <c r="AF116" s="13" t="s">
        <v>16</v>
      </c>
      <c r="AG116" s="13" t="s">
        <v>22</v>
      </c>
      <c r="AH116" s="13">
        <v>0.13880000000000001</v>
      </c>
      <c r="AI116" s="13">
        <v>0.24049999999999999</v>
      </c>
      <c r="AJ116" s="13">
        <v>0.2777</v>
      </c>
      <c r="AK116" s="13">
        <v>0.24049999999999999</v>
      </c>
      <c r="AL116" s="13">
        <v>0.13880000000000001</v>
      </c>
      <c r="AM116" s="13" t="s">
        <v>22</v>
      </c>
      <c r="AN116" s="13">
        <v>-0.13880000000000001</v>
      </c>
      <c r="AO116" s="13">
        <v>-0.24049999999999999</v>
      </c>
      <c r="AP116" s="13">
        <v>-0.2777</v>
      </c>
      <c r="AQ116" s="13">
        <v>-0.24049999999999999</v>
      </c>
      <c r="AR116" s="13">
        <v>-0.13880000000000001</v>
      </c>
      <c r="AT116" s="31"/>
      <c r="AU116" s="107">
        <v>0</v>
      </c>
      <c r="AV116" s="107" t="s">
        <v>22</v>
      </c>
      <c r="AW116" s="107">
        <v>8.6599999999999996E-2</v>
      </c>
      <c r="AX116" s="107" t="s">
        <v>576</v>
      </c>
      <c r="AY116" s="107">
        <v>0.17319999999999999</v>
      </c>
      <c r="AZ116" s="107" t="s">
        <v>576</v>
      </c>
      <c r="BA116" s="107">
        <v>8.6599999999999996E-2</v>
      </c>
      <c r="BB116" s="13" t="s">
        <v>22</v>
      </c>
      <c r="BC116" s="13">
        <v>-8.6599999999999996E-2</v>
      </c>
      <c r="BD116" s="13" t="s">
        <v>577</v>
      </c>
      <c r="BE116" s="13">
        <v>-0.17319999999999999</v>
      </c>
      <c r="BF116" s="13" t="s">
        <v>577</v>
      </c>
      <c r="BG116" s="13">
        <v>-8.6599999999999996E-2</v>
      </c>
    </row>
    <row r="117" spans="1:59" ht="16" thickBot="1" x14ac:dyDescent="0.4">
      <c r="A117" s="106"/>
      <c r="B117" s="107" t="s">
        <v>42</v>
      </c>
      <c r="C117" s="107">
        <v>8.9499999999999996E-2</v>
      </c>
      <c r="D117" s="107">
        <v>2.6412</v>
      </c>
      <c r="E117" s="107">
        <v>4.4851999999999999</v>
      </c>
      <c r="F117" s="107">
        <v>5.1273999999999997</v>
      </c>
      <c r="G117" s="107">
        <v>4.3956999999999997</v>
      </c>
      <c r="H117" s="107">
        <v>2.4862000000000002</v>
      </c>
      <c r="I117" s="13">
        <v>-8.9499999999999996E-2</v>
      </c>
      <c r="J117" s="13">
        <v>-2.6412</v>
      </c>
      <c r="K117" s="13">
        <v>-4.4851999999999999</v>
      </c>
      <c r="L117" s="13">
        <v>-5.1273999999999997</v>
      </c>
      <c r="M117" s="13">
        <v>-4.3956999999999997</v>
      </c>
      <c r="N117" s="13">
        <v>-2.4862000000000002</v>
      </c>
      <c r="P117" s="31"/>
      <c r="Q117" s="107" t="s">
        <v>42</v>
      </c>
      <c r="R117" s="107">
        <v>4.8999999999999998E-3</v>
      </c>
      <c r="S117" s="107">
        <v>0.14449999999999999</v>
      </c>
      <c r="T117" s="107">
        <v>0.24540000000000001</v>
      </c>
      <c r="U117" s="107">
        <v>0.28060000000000002</v>
      </c>
      <c r="V117" s="107">
        <v>0.24049999999999999</v>
      </c>
      <c r="W117" s="107" t="s">
        <v>542</v>
      </c>
      <c r="X117" s="13">
        <v>-4.8999999999999998E-3</v>
      </c>
      <c r="Y117" s="13">
        <v>-0.14449999999999999</v>
      </c>
      <c r="Z117" s="13">
        <v>-0.24540000000000001</v>
      </c>
      <c r="AA117" s="13">
        <v>-0.28060000000000002</v>
      </c>
      <c r="AB117" s="13">
        <v>-0.24049999999999999</v>
      </c>
      <c r="AC117" s="13" t="s">
        <v>543</v>
      </c>
      <c r="AF117" s="13" t="s">
        <v>42</v>
      </c>
      <c r="AG117" s="13">
        <v>4.7999999999999996E-3</v>
      </c>
      <c r="AH117" s="13" t="s">
        <v>563</v>
      </c>
      <c r="AI117" s="13">
        <v>0.2429</v>
      </c>
      <c r="AJ117" s="13">
        <v>0.2777</v>
      </c>
      <c r="AK117" s="13" t="s">
        <v>544</v>
      </c>
      <c r="AL117" s="13">
        <v>0.1346</v>
      </c>
      <c r="AM117" s="13">
        <v>-4.7999999999999996E-3</v>
      </c>
      <c r="AN117" s="13" t="s">
        <v>564</v>
      </c>
      <c r="AO117" s="13">
        <v>-0.2429</v>
      </c>
      <c r="AP117" s="13">
        <v>-0.2777</v>
      </c>
      <c r="AQ117" s="13">
        <v>-0.23799999999999999</v>
      </c>
      <c r="AR117" s="13">
        <v>-0.1346</v>
      </c>
      <c r="AT117" s="31"/>
      <c r="AU117" s="107">
        <v>1</v>
      </c>
      <c r="AV117" s="107" t="s">
        <v>258</v>
      </c>
      <c r="AW117" s="107">
        <v>8.9200000000000002E-2</v>
      </c>
      <c r="AX117" s="107">
        <v>0.1515</v>
      </c>
      <c r="AY117" s="107">
        <v>0.17319999999999999</v>
      </c>
      <c r="AZ117" s="107">
        <v>0.14849999999999999</v>
      </c>
      <c r="BA117" s="107" t="s">
        <v>255</v>
      </c>
      <c r="BB117" s="13" t="s">
        <v>259</v>
      </c>
      <c r="BC117" s="13">
        <v>-8.9200000000000002E-2</v>
      </c>
      <c r="BD117" s="13">
        <v>-0.1515</v>
      </c>
      <c r="BE117" s="13">
        <v>-0.17319999999999999</v>
      </c>
      <c r="BF117" s="13">
        <v>-0.14849999999999999</v>
      </c>
      <c r="BG117" s="13" t="s">
        <v>324</v>
      </c>
    </row>
    <row r="118" spans="1:59" ht="16" thickBot="1" x14ac:dyDescent="0.4">
      <c r="A118" s="106"/>
      <c r="B118" s="107" t="s">
        <v>43</v>
      </c>
      <c r="C118" s="107" t="s">
        <v>521</v>
      </c>
      <c r="D118" s="107">
        <v>2.7174999999999998</v>
      </c>
      <c r="E118" s="107">
        <v>4.5278999999999998</v>
      </c>
      <c r="F118" s="107">
        <v>5.1250999999999998</v>
      </c>
      <c r="G118" s="107" t="s">
        <v>522</v>
      </c>
      <c r="H118" s="107">
        <v>2.4075000000000002</v>
      </c>
      <c r="I118" s="13" t="s">
        <v>523</v>
      </c>
      <c r="J118" s="13">
        <v>-2.7174999999999998</v>
      </c>
      <c r="K118" s="13">
        <v>-4.5278999999999998</v>
      </c>
      <c r="L118" s="13">
        <v>-5.1250999999999998</v>
      </c>
      <c r="M118" s="13" t="s">
        <v>524</v>
      </c>
      <c r="N118" s="13">
        <v>-2.4075000000000002</v>
      </c>
      <c r="P118" s="31"/>
      <c r="Q118" s="107" t="s">
        <v>43</v>
      </c>
      <c r="R118" s="107">
        <v>9.7999999999999997E-3</v>
      </c>
      <c r="S118" s="107">
        <v>0.1487</v>
      </c>
      <c r="T118" s="107">
        <v>0.24779999999999999</v>
      </c>
      <c r="U118" s="107">
        <v>0.28039999999999998</v>
      </c>
      <c r="V118" s="107" t="s">
        <v>544</v>
      </c>
      <c r="W118" s="107">
        <v>0.13170000000000001</v>
      </c>
      <c r="X118" s="13">
        <v>-9.7999999999999997E-3</v>
      </c>
      <c r="Y118" s="13">
        <v>-0.1487</v>
      </c>
      <c r="Z118" s="13">
        <v>-0.24779999999999999</v>
      </c>
      <c r="AA118" s="13">
        <v>-0.28039999999999998</v>
      </c>
      <c r="AB118" s="13" t="s">
        <v>545</v>
      </c>
      <c r="AC118" s="13">
        <v>-0.13170000000000001</v>
      </c>
      <c r="AF118" s="13" t="s">
        <v>43</v>
      </c>
      <c r="AG118" s="13">
        <v>9.7000000000000003E-3</v>
      </c>
      <c r="AH118" s="13">
        <v>0.1472</v>
      </c>
      <c r="AI118" s="13">
        <v>0.2452</v>
      </c>
      <c r="AJ118" s="13">
        <v>0.27750000000000002</v>
      </c>
      <c r="AK118" s="13">
        <v>0.23549999999999999</v>
      </c>
      <c r="AL118" s="13">
        <v>0.13039999999999999</v>
      </c>
      <c r="AM118" s="13">
        <v>-9.7000000000000003E-3</v>
      </c>
      <c r="AN118" s="13">
        <v>-0.1472</v>
      </c>
      <c r="AO118" s="13">
        <v>-0.2452</v>
      </c>
      <c r="AP118" s="13">
        <v>-0.27750000000000002</v>
      </c>
      <c r="AQ118" s="13">
        <v>-0.23549999999999999</v>
      </c>
      <c r="AR118" s="13">
        <v>-0.13039999999999999</v>
      </c>
      <c r="AT118" s="31"/>
      <c r="AU118" s="107">
        <v>2</v>
      </c>
      <c r="AV118" s="107">
        <v>6.0000000000000001E-3</v>
      </c>
      <c r="AW118" s="107">
        <v>9.1800000000000007E-2</v>
      </c>
      <c r="AX118" s="107" t="s">
        <v>578</v>
      </c>
      <c r="AY118" s="107">
        <v>0.1731</v>
      </c>
      <c r="AZ118" s="107">
        <v>0.1469</v>
      </c>
      <c r="BA118" s="107">
        <v>8.1299999999999997E-2</v>
      </c>
      <c r="BB118" s="13" t="s">
        <v>58</v>
      </c>
      <c r="BC118" s="13">
        <v>-9.1800000000000007E-2</v>
      </c>
      <c r="BD118" s="13" t="s">
        <v>579</v>
      </c>
      <c r="BE118" s="13">
        <v>-0.1731</v>
      </c>
      <c r="BF118" s="13">
        <v>-0.1469</v>
      </c>
      <c r="BG118" s="13">
        <v>-8.1299999999999997E-2</v>
      </c>
    </row>
    <row r="119" spans="1:59" ht="16" thickBot="1" x14ac:dyDescent="0.4">
      <c r="A119" s="106"/>
      <c r="B119" s="107" t="s">
        <v>44</v>
      </c>
      <c r="C119" s="107">
        <v>0.26840000000000003</v>
      </c>
      <c r="D119" s="107" t="s">
        <v>525</v>
      </c>
      <c r="E119" s="107">
        <v>4.5692000000000004</v>
      </c>
      <c r="F119" s="107">
        <v>5.1212</v>
      </c>
      <c r="G119" s="107">
        <v>4.3009000000000004</v>
      </c>
      <c r="H119" s="107">
        <v>2.3281000000000001</v>
      </c>
      <c r="I119" s="13">
        <v>-0.26840000000000003</v>
      </c>
      <c r="J119" s="13" t="s">
        <v>526</v>
      </c>
      <c r="K119" s="13">
        <v>-4.5692000000000004</v>
      </c>
      <c r="L119" s="13">
        <v>-5.1212</v>
      </c>
      <c r="M119" s="13">
        <v>-4.3009000000000004</v>
      </c>
      <c r="N119" s="13">
        <v>-2.3281000000000001</v>
      </c>
      <c r="P119" s="31"/>
      <c r="Q119" s="107" t="s">
        <v>44</v>
      </c>
      <c r="R119" s="107">
        <v>1.47E-2</v>
      </c>
      <c r="S119" s="107">
        <v>0.15279999999999999</v>
      </c>
      <c r="T119" s="107" t="s">
        <v>546</v>
      </c>
      <c r="U119" s="107">
        <v>0.2802</v>
      </c>
      <c r="V119" s="107">
        <v>0.23530000000000001</v>
      </c>
      <c r="W119" s="107">
        <v>0.12740000000000001</v>
      </c>
      <c r="X119" s="13">
        <v>-1.47E-2</v>
      </c>
      <c r="Y119" s="13">
        <v>-0.15279999999999999</v>
      </c>
      <c r="Z119" s="13" t="s">
        <v>547</v>
      </c>
      <c r="AA119" s="13">
        <v>-0.2802</v>
      </c>
      <c r="AB119" s="13">
        <v>-0.23530000000000001</v>
      </c>
      <c r="AC119" s="13">
        <v>-0.12740000000000001</v>
      </c>
      <c r="AF119" s="13" t="s">
        <v>44</v>
      </c>
      <c r="AG119" s="13">
        <v>1.4500000000000001E-2</v>
      </c>
      <c r="AH119" s="13">
        <v>0.1512</v>
      </c>
      <c r="AI119" s="13">
        <v>0.24740000000000001</v>
      </c>
      <c r="AJ119" s="13">
        <v>0.27729999999999999</v>
      </c>
      <c r="AK119" s="13">
        <v>0.2329</v>
      </c>
      <c r="AL119" s="13">
        <v>0.12609999999999999</v>
      </c>
      <c r="AM119" s="13">
        <v>-1.4500000000000001E-2</v>
      </c>
      <c r="AN119" s="13">
        <v>-0.1512</v>
      </c>
      <c r="AO119" s="13">
        <v>-0.24740000000000001</v>
      </c>
      <c r="AP119" s="13">
        <v>-0.27729999999999999</v>
      </c>
      <c r="AQ119" s="13">
        <v>-0.2329</v>
      </c>
      <c r="AR119" s="13">
        <v>-0.12609999999999999</v>
      </c>
      <c r="AT119" s="31"/>
      <c r="AU119" s="107">
        <v>3</v>
      </c>
      <c r="AV119" s="107">
        <v>9.1000000000000004E-3</v>
      </c>
      <c r="AW119" s="107">
        <v>9.4399999999999998E-2</v>
      </c>
      <c r="AX119" s="107">
        <v>0.15440000000000001</v>
      </c>
      <c r="AY119" s="107">
        <v>0.17299999999999999</v>
      </c>
      <c r="AZ119" s="107">
        <v>0.14530000000000001</v>
      </c>
      <c r="BA119" s="107">
        <v>7.8600000000000003E-2</v>
      </c>
      <c r="BB119" s="13">
        <v>-9.1000000000000004E-3</v>
      </c>
      <c r="BC119" s="13">
        <v>-9.4399999999999998E-2</v>
      </c>
      <c r="BD119" s="13">
        <v>-0.15440000000000001</v>
      </c>
      <c r="BE119" s="13" t="s">
        <v>580</v>
      </c>
      <c r="BF119" s="13">
        <v>-0.14530000000000001</v>
      </c>
      <c r="BG119" s="13">
        <v>-7.8600000000000003E-2</v>
      </c>
    </row>
    <row r="120" spans="1:59" ht="16" thickBot="1" x14ac:dyDescent="0.4">
      <c r="A120" s="106"/>
      <c r="B120" s="107" t="s">
        <v>45</v>
      </c>
      <c r="C120" s="107">
        <v>0.35770000000000002</v>
      </c>
      <c r="D120" s="107">
        <v>2.8675999999999999</v>
      </c>
      <c r="E120" s="107">
        <v>4.6092000000000004</v>
      </c>
      <c r="F120" s="107">
        <v>5.1157000000000004</v>
      </c>
      <c r="G120" s="107">
        <v>4.2515000000000001</v>
      </c>
      <c r="H120" s="107">
        <v>2.2481</v>
      </c>
      <c r="I120" s="13">
        <v>-0.35770000000000002</v>
      </c>
      <c r="J120" s="13">
        <v>-2.8675999999999999</v>
      </c>
      <c r="K120" s="13">
        <v>-4.6092000000000004</v>
      </c>
      <c r="L120" s="13">
        <v>-5.1157000000000004</v>
      </c>
      <c r="M120" s="13">
        <v>-4.2515000000000001</v>
      </c>
      <c r="N120" s="13">
        <v>-2.2481</v>
      </c>
      <c r="P120" s="31"/>
      <c r="Q120" s="107" t="s">
        <v>45</v>
      </c>
      <c r="R120" s="107">
        <v>1.9599999999999999E-2</v>
      </c>
      <c r="S120" s="107">
        <v>0.15690000000000001</v>
      </c>
      <c r="T120" s="107">
        <v>0.25219999999999998</v>
      </c>
      <c r="U120" s="107">
        <v>0.27989999999999998</v>
      </c>
      <c r="V120" s="107">
        <v>0.2326</v>
      </c>
      <c r="W120" s="107" t="s">
        <v>548</v>
      </c>
      <c r="X120" s="13">
        <v>-1.9599999999999999E-2</v>
      </c>
      <c r="Y120" s="13">
        <v>-0.15690000000000001</v>
      </c>
      <c r="Z120" s="13">
        <v>-0.25219999999999998</v>
      </c>
      <c r="AA120" s="13">
        <v>-0.27989999999999998</v>
      </c>
      <c r="AB120" s="13">
        <v>-0.2326</v>
      </c>
      <c r="AC120" s="13" t="s">
        <v>549</v>
      </c>
      <c r="AF120" s="13" t="s">
        <v>45</v>
      </c>
      <c r="AG120" s="13">
        <v>1.9400000000000001E-2</v>
      </c>
      <c r="AH120" s="13">
        <v>0.15529999999999999</v>
      </c>
      <c r="AI120" s="13">
        <v>0.24959999999999999</v>
      </c>
      <c r="AJ120" s="13">
        <v>0.27700000000000002</v>
      </c>
      <c r="AK120" s="13">
        <v>0.23019999999999999</v>
      </c>
      <c r="AL120" s="13">
        <v>0.1217</v>
      </c>
      <c r="AM120" s="13">
        <v>-1.9400000000000001E-2</v>
      </c>
      <c r="AN120" s="13">
        <v>-0.15529999999999999</v>
      </c>
      <c r="AO120" s="13">
        <v>-0.24959999999999999</v>
      </c>
      <c r="AP120" s="13">
        <v>-0.27700000000000002</v>
      </c>
      <c r="AQ120" s="13">
        <v>-0.23019999999999999</v>
      </c>
      <c r="AR120" s="13">
        <v>-0.1217</v>
      </c>
      <c r="AT120" s="31"/>
      <c r="AU120" s="107">
        <v>4</v>
      </c>
      <c r="AV120" s="107">
        <v>1.21E-2</v>
      </c>
      <c r="AW120" s="107">
        <v>9.69E-2</v>
      </c>
      <c r="AX120" s="107">
        <v>0.15570000000000001</v>
      </c>
      <c r="AY120" s="107">
        <v>0.17280000000000001</v>
      </c>
      <c r="AZ120" s="107">
        <v>0.14360000000000001</v>
      </c>
      <c r="BA120" s="107">
        <v>7.5899999999999995E-2</v>
      </c>
      <c r="BB120" s="13">
        <v>-1.21E-2</v>
      </c>
      <c r="BC120" s="13">
        <v>-9.69E-2</v>
      </c>
      <c r="BD120" s="13">
        <v>-0.15570000000000001</v>
      </c>
      <c r="BE120" s="13">
        <v>-0.17280000000000001</v>
      </c>
      <c r="BF120" s="13">
        <v>-0.14360000000000001</v>
      </c>
      <c r="BG120" s="13">
        <v>-7.5899999999999995E-2</v>
      </c>
    </row>
    <row r="121" spans="1:59" ht="16" thickBot="1" x14ac:dyDescent="0.4">
      <c r="A121" s="106"/>
      <c r="B121" s="107" t="s">
        <v>47</v>
      </c>
      <c r="C121" s="107" t="s">
        <v>527</v>
      </c>
      <c r="D121" s="107">
        <v>2.9413999999999998</v>
      </c>
      <c r="E121" s="107">
        <v>4.6477000000000004</v>
      </c>
      <c r="F121" s="107">
        <v>5.1086999999999998</v>
      </c>
      <c r="G121" s="107">
        <v>4.2008000000000001</v>
      </c>
      <c r="H121" s="107">
        <v>2.1673</v>
      </c>
      <c r="I121" s="13" t="s">
        <v>528</v>
      </c>
      <c r="J121" s="13">
        <v>-2.9413999999999998</v>
      </c>
      <c r="K121" s="13">
        <v>-4.6477000000000004</v>
      </c>
      <c r="L121" s="13">
        <v>-5.1086999999999998</v>
      </c>
      <c r="M121" s="13">
        <v>-4.2008000000000001</v>
      </c>
      <c r="N121" s="13">
        <v>-2.1673</v>
      </c>
      <c r="P121" s="31"/>
      <c r="Q121" s="107" t="s">
        <v>47</v>
      </c>
      <c r="R121" s="107">
        <v>2.4500000000000001E-2</v>
      </c>
      <c r="S121" s="107">
        <v>0.16089999999999999</v>
      </c>
      <c r="T121" s="107">
        <v>0.25430000000000003</v>
      </c>
      <c r="U121" s="107">
        <v>0.27950000000000003</v>
      </c>
      <c r="V121" s="107">
        <v>0.22989999999999999</v>
      </c>
      <c r="W121" s="107">
        <v>0.1186</v>
      </c>
      <c r="X121" s="13">
        <v>-2.4500000000000001E-2</v>
      </c>
      <c r="Y121" s="13">
        <v>-0.16089999999999999</v>
      </c>
      <c r="Z121" s="13">
        <v>-0.25430000000000003</v>
      </c>
      <c r="AA121" s="13">
        <v>-0.27950000000000003</v>
      </c>
      <c r="AB121" s="13">
        <v>-0.22989999999999999</v>
      </c>
      <c r="AC121" s="13">
        <v>-0.1186</v>
      </c>
      <c r="AF121" s="13" t="s">
        <v>47</v>
      </c>
      <c r="AG121" s="13">
        <v>2.4199999999999999E-2</v>
      </c>
      <c r="AH121" s="13">
        <v>0.1593</v>
      </c>
      <c r="AI121" s="13">
        <v>0.25169999999999998</v>
      </c>
      <c r="AJ121" s="13">
        <v>0.27660000000000001</v>
      </c>
      <c r="AK121" s="13">
        <v>0.22750000000000001</v>
      </c>
      <c r="AL121" s="13">
        <v>0.1174</v>
      </c>
      <c r="AM121" s="13">
        <v>-2.4199999999999999E-2</v>
      </c>
      <c r="AN121" s="13">
        <v>-0.1593</v>
      </c>
      <c r="AO121" s="13">
        <v>-0.25169999999999998</v>
      </c>
      <c r="AP121" s="13">
        <v>-0.27660000000000001</v>
      </c>
      <c r="AQ121" s="13">
        <v>-0.22750000000000001</v>
      </c>
      <c r="AR121" s="13">
        <v>-0.1174</v>
      </c>
      <c r="AT121" s="31"/>
      <c r="AU121" s="107">
        <v>5</v>
      </c>
      <c r="AV121" s="107">
        <v>1.5100000000000001E-2</v>
      </c>
      <c r="AW121" s="107">
        <v>9.9400000000000002E-2</v>
      </c>
      <c r="AX121" s="107" t="s">
        <v>246</v>
      </c>
      <c r="AY121" s="107">
        <v>0.1726</v>
      </c>
      <c r="AZ121" s="107">
        <v>0.1419</v>
      </c>
      <c r="BA121" s="107">
        <v>7.3200000000000001E-2</v>
      </c>
      <c r="BB121" s="13">
        <v>-1.5100000000000001E-2</v>
      </c>
      <c r="BC121" s="13">
        <v>-9.9400000000000002E-2</v>
      </c>
      <c r="BD121" s="13" t="s">
        <v>317</v>
      </c>
      <c r="BE121" s="13">
        <v>-0.1726</v>
      </c>
      <c r="BF121" s="13">
        <v>-0.1419</v>
      </c>
      <c r="BG121" s="13">
        <v>-7.3200000000000001E-2</v>
      </c>
    </row>
    <row r="122" spans="1:59" ht="16" thickBot="1" x14ac:dyDescent="0.4">
      <c r="A122" s="106"/>
      <c r="B122" s="107" t="s">
        <v>50</v>
      </c>
      <c r="C122" s="107" t="s">
        <v>529</v>
      </c>
      <c r="D122" s="107">
        <v>3.0143</v>
      </c>
      <c r="E122" s="107">
        <v>4.6848000000000001</v>
      </c>
      <c r="F122" s="107">
        <v>5.1001000000000003</v>
      </c>
      <c r="G122" s="107">
        <v>4.1487999999999996</v>
      </c>
      <c r="H122" s="107">
        <v>2.0857999999999999</v>
      </c>
      <c r="I122" s="13" t="s">
        <v>530</v>
      </c>
      <c r="J122" s="13">
        <v>-3.0143</v>
      </c>
      <c r="K122" s="13">
        <v>-4.6848000000000001</v>
      </c>
      <c r="L122" s="13">
        <v>-5.1001000000000003</v>
      </c>
      <c r="M122" s="13">
        <v>-4.1487999999999996</v>
      </c>
      <c r="N122" s="13">
        <v>-2.0857999999999999</v>
      </c>
      <c r="P122" s="31"/>
      <c r="Q122" s="107" t="s">
        <v>50</v>
      </c>
      <c r="R122" s="107">
        <v>2.93E-2</v>
      </c>
      <c r="S122" s="107">
        <v>0.16489999999999999</v>
      </c>
      <c r="T122" s="107">
        <v>0.25629999999999997</v>
      </c>
      <c r="U122" s="107">
        <v>0.27910000000000001</v>
      </c>
      <c r="V122" s="107" t="s">
        <v>550</v>
      </c>
      <c r="W122" s="107">
        <v>0.11409999999999999</v>
      </c>
      <c r="X122" s="13">
        <v>-2.93E-2</v>
      </c>
      <c r="Y122" s="13">
        <v>-0.16489999999999999</v>
      </c>
      <c r="Z122" s="13">
        <v>-0.25629999999999997</v>
      </c>
      <c r="AA122" s="13">
        <v>-0.27910000000000001</v>
      </c>
      <c r="AB122" s="13" t="s">
        <v>551</v>
      </c>
      <c r="AC122" s="13">
        <v>-0.11409999999999999</v>
      </c>
      <c r="AF122" s="13" t="s">
        <v>50</v>
      </c>
      <c r="AG122" s="13" t="s">
        <v>260</v>
      </c>
      <c r="AH122" s="13">
        <v>0.16320000000000001</v>
      </c>
      <c r="AI122" s="13">
        <v>0.25369999999999998</v>
      </c>
      <c r="AJ122" s="13">
        <v>0.2762</v>
      </c>
      <c r="AK122" s="13">
        <v>0.22470000000000001</v>
      </c>
      <c r="AL122" s="13">
        <v>0.1129</v>
      </c>
      <c r="AM122" s="13" t="s">
        <v>261</v>
      </c>
      <c r="AN122" s="13">
        <v>-0.16320000000000001</v>
      </c>
      <c r="AO122" s="13">
        <v>-0.25369999999999998</v>
      </c>
      <c r="AP122" s="13">
        <v>-0.2762</v>
      </c>
      <c r="AQ122" s="13">
        <v>-0.22470000000000001</v>
      </c>
      <c r="AR122" s="13">
        <v>-0.1129</v>
      </c>
      <c r="AT122" s="31"/>
      <c r="AU122" s="107">
        <v>6</v>
      </c>
      <c r="AV122" s="107">
        <v>1.8100000000000002E-2</v>
      </c>
      <c r="AW122" s="107">
        <v>0.1018</v>
      </c>
      <c r="AX122" s="107">
        <v>0.1583</v>
      </c>
      <c r="AY122" s="107">
        <v>0.17230000000000001</v>
      </c>
      <c r="AZ122" s="107">
        <v>0.14019999999999999</v>
      </c>
      <c r="BA122" s="107">
        <v>7.0499999999999993E-2</v>
      </c>
      <c r="BB122" s="13">
        <v>-1.8100000000000002E-2</v>
      </c>
      <c r="BC122" s="13">
        <v>-0.1018</v>
      </c>
      <c r="BD122" s="13">
        <v>-0.1583</v>
      </c>
      <c r="BE122" s="13">
        <v>-0.17230000000000001</v>
      </c>
      <c r="BF122" s="13">
        <v>-0.14019999999999999</v>
      </c>
      <c r="BG122" s="13">
        <v>-7.0499999999999993E-2</v>
      </c>
    </row>
    <row r="123" spans="1:59" ht="16" thickBot="1" x14ac:dyDescent="0.4">
      <c r="A123" s="106"/>
      <c r="B123" s="107" t="s">
        <v>53</v>
      </c>
      <c r="C123" s="107" t="s">
        <v>531</v>
      </c>
      <c r="D123" s="107">
        <v>3.0861999999999998</v>
      </c>
      <c r="E123" s="107">
        <v>4.7205000000000004</v>
      </c>
      <c r="F123" s="107" t="s">
        <v>532</v>
      </c>
      <c r="G123" s="107">
        <v>4.0956000000000001</v>
      </c>
      <c r="H123" s="107">
        <v>2.0036999999999998</v>
      </c>
      <c r="I123" s="13" t="s">
        <v>533</v>
      </c>
      <c r="J123" s="13">
        <v>-3.0861999999999998</v>
      </c>
      <c r="K123" s="13">
        <v>-4.7205000000000004</v>
      </c>
      <c r="L123" s="13" t="s">
        <v>534</v>
      </c>
      <c r="M123" s="13">
        <v>-4.0956000000000001</v>
      </c>
      <c r="N123" s="13">
        <v>-2.0036999999999998</v>
      </c>
      <c r="P123" s="31"/>
      <c r="Q123" s="107" t="s">
        <v>53</v>
      </c>
      <c r="R123" s="107">
        <v>3.4200000000000001E-2</v>
      </c>
      <c r="S123" s="107">
        <v>0.16889999999999999</v>
      </c>
      <c r="T123" s="107">
        <v>0.25829999999999997</v>
      </c>
      <c r="U123" s="107">
        <v>0.27850000000000003</v>
      </c>
      <c r="V123" s="107">
        <v>0.22409999999999999</v>
      </c>
      <c r="W123" s="107">
        <v>0.1096</v>
      </c>
      <c r="X123" s="13">
        <v>-3.4200000000000001E-2</v>
      </c>
      <c r="Y123" s="13">
        <v>-0.16889999999999999</v>
      </c>
      <c r="Z123" s="13">
        <v>-0.25829999999999997</v>
      </c>
      <c r="AA123" s="13">
        <v>-0.27850000000000003</v>
      </c>
      <c r="AB123" s="13">
        <v>-0.22409999999999999</v>
      </c>
      <c r="AC123" s="13">
        <v>-0.1096</v>
      </c>
      <c r="AF123" s="13" t="s">
        <v>53</v>
      </c>
      <c r="AG123" s="13">
        <v>3.3799999999999997E-2</v>
      </c>
      <c r="AH123" s="13">
        <v>0.1671</v>
      </c>
      <c r="AI123" s="13">
        <v>0.25559999999999999</v>
      </c>
      <c r="AJ123" s="13">
        <v>0.27560000000000001</v>
      </c>
      <c r="AK123" s="13">
        <v>0.2218</v>
      </c>
      <c r="AL123" s="13">
        <v>0.1085</v>
      </c>
      <c r="AM123" s="13">
        <v>-3.3799999999999997E-2</v>
      </c>
      <c r="AN123" s="13">
        <v>-0.1671</v>
      </c>
      <c r="AO123" s="13">
        <v>-0.25559999999999999</v>
      </c>
      <c r="AP123" s="13">
        <v>-0.27560000000000001</v>
      </c>
      <c r="AQ123" s="13">
        <v>-0.2218</v>
      </c>
      <c r="AR123" s="13">
        <v>-0.1085</v>
      </c>
      <c r="AT123" s="31"/>
      <c r="AU123" s="107">
        <v>7</v>
      </c>
      <c r="AV123" s="107">
        <v>2.1100000000000001E-2</v>
      </c>
      <c r="AW123" s="107">
        <v>0.1043</v>
      </c>
      <c r="AX123" s="107">
        <v>0.1595</v>
      </c>
      <c r="AY123" s="107">
        <v>0.1719</v>
      </c>
      <c r="AZ123" s="107">
        <v>0.1384</v>
      </c>
      <c r="BA123" s="107">
        <v>6.7699999999999996E-2</v>
      </c>
      <c r="BB123" s="13">
        <v>-2.1100000000000001E-2</v>
      </c>
      <c r="BC123" s="13">
        <v>-0.1043</v>
      </c>
      <c r="BD123" s="13">
        <v>-0.1595</v>
      </c>
      <c r="BE123" s="13">
        <v>-0.1719</v>
      </c>
      <c r="BF123" s="13">
        <v>-0.1384</v>
      </c>
      <c r="BG123" s="13">
        <v>-6.7699999999999996E-2</v>
      </c>
    </row>
    <row r="124" spans="1:59" ht="16" thickBot="1" x14ac:dyDescent="0.4">
      <c r="A124" s="106"/>
      <c r="B124" s="107" t="s">
        <v>56</v>
      </c>
      <c r="C124" s="107">
        <v>0.7137</v>
      </c>
      <c r="D124" s="107">
        <v>3.1572</v>
      </c>
      <c r="E124" s="107">
        <v>4.7548000000000004</v>
      </c>
      <c r="F124" s="107">
        <v>5.0782999999999996</v>
      </c>
      <c r="G124" s="107">
        <v>4.0411000000000001</v>
      </c>
      <c r="H124" s="107">
        <v>1.9211</v>
      </c>
      <c r="I124" s="13">
        <v>-0.7137</v>
      </c>
      <c r="J124" s="13">
        <v>-3.1572</v>
      </c>
      <c r="K124" s="13">
        <v>-4.7548000000000004</v>
      </c>
      <c r="L124" s="13">
        <v>-5.0782999999999996</v>
      </c>
      <c r="M124" s="13">
        <v>-4.0411000000000001</v>
      </c>
      <c r="N124" s="13">
        <v>-1.9211</v>
      </c>
      <c r="P124" s="31"/>
      <c r="Q124" s="107" t="s">
        <v>56</v>
      </c>
      <c r="R124" s="107">
        <v>3.9100000000000003E-2</v>
      </c>
      <c r="S124" s="107">
        <v>0.17280000000000001</v>
      </c>
      <c r="T124" s="107">
        <v>0.26019999999999999</v>
      </c>
      <c r="U124" s="107">
        <v>0.27789999999999998</v>
      </c>
      <c r="V124" s="107">
        <v>0.22109999999999999</v>
      </c>
      <c r="W124" s="107">
        <v>0.1051</v>
      </c>
      <c r="X124" s="13">
        <v>-3.9100000000000003E-2</v>
      </c>
      <c r="Y124" s="13">
        <v>-0.17280000000000001</v>
      </c>
      <c r="Z124" s="13">
        <v>-0.26019999999999999</v>
      </c>
      <c r="AA124" s="13">
        <v>-0.27789999999999998</v>
      </c>
      <c r="AB124" s="13">
        <v>-0.22109999999999999</v>
      </c>
      <c r="AC124" s="13">
        <v>-0.1051</v>
      </c>
      <c r="AF124" s="13" t="s">
        <v>56</v>
      </c>
      <c r="AG124" s="13">
        <v>3.8600000000000002E-2</v>
      </c>
      <c r="AH124" s="13" t="s">
        <v>565</v>
      </c>
      <c r="AI124" s="13">
        <v>0.25750000000000001</v>
      </c>
      <c r="AJ124" s="13" t="s">
        <v>566</v>
      </c>
      <c r="AK124" s="13">
        <v>0.21879999999999999</v>
      </c>
      <c r="AL124" s="13" t="s">
        <v>567</v>
      </c>
      <c r="AM124" s="13">
        <v>-3.8600000000000002E-2</v>
      </c>
      <c r="AN124" s="13" t="s">
        <v>568</v>
      </c>
      <c r="AO124" s="13">
        <v>-0.25750000000000001</v>
      </c>
      <c r="AP124" s="13" t="s">
        <v>569</v>
      </c>
      <c r="AQ124" s="13">
        <v>-0.21879999999999999</v>
      </c>
      <c r="AR124" s="13" t="s">
        <v>570</v>
      </c>
      <c r="AT124" s="31"/>
      <c r="AU124" s="107">
        <v>8</v>
      </c>
      <c r="AV124" s="107">
        <v>2.41E-2</v>
      </c>
      <c r="AW124" s="107">
        <v>0.1067</v>
      </c>
      <c r="AX124" s="107">
        <v>0.16059999999999999</v>
      </c>
      <c r="AY124" s="107">
        <v>0.1716</v>
      </c>
      <c r="AZ124" s="107">
        <v>0.13650000000000001</v>
      </c>
      <c r="BA124" s="107">
        <v>6.4899999999999999E-2</v>
      </c>
      <c r="BB124" s="13">
        <v>-2.41E-2</v>
      </c>
      <c r="BC124" s="13">
        <v>-0.1067</v>
      </c>
      <c r="BD124" s="13">
        <v>-0.16059999999999999</v>
      </c>
      <c r="BE124" s="13">
        <v>-0.1716</v>
      </c>
      <c r="BF124" s="13">
        <v>-0.13650000000000001</v>
      </c>
      <c r="BG124" s="13">
        <v>-6.4899999999999999E-2</v>
      </c>
    </row>
    <row r="125" spans="1:59" ht="16" thickBot="1" x14ac:dyDescent="0.4">
      <c r="A125" s="106"/>
      <c r="B125" s="107" t="s">
        <v>59</v>
      </c>
      <c r="C125" s="107">
        <v>0.80220000000000002</v>
      </c>
      <c r="D125" s="107">
        <v>3.2273000000000001</v>
      </c>
      <c r="E125" s="107">
        <v>4.7876000000000003</v>
      </c>
      <c r="F125" s="107">
        <v>5.0651000000000002</v>
      </c>
      <c r="G125" s="107">
        <v>3.9853999999999998</v>
      </c>
      <c r="H125" s="107">
        <v>1.8378000000000001</v>
      </c>
      <c r="I125" s="13">
        <v>-0.80220000000000002</v>
      </c>
      <c r="J125" s="13">
        <v>-3.2273000000000001</v>
      </c>
      <c r="K125" s="13">
        <v>-4.7876000000000003</v>
      </c>
      <c r="L125" s="13">
        <v>-5.0651000000000002</v>
      </c>
      <c r="M125" s="13">
        <v>-3.9853999999999998</v>
      </c>
      <c r="N125" s="13">
        <v>-1.8378000000000001</v>
      </c>
      <c r="P125" s="31"/>
      <c r="Q125" s="107" t="s">
        <v>59</v>
      </c>
      <c r="R125" s="107">
        <v>4.3900000000000002E-2</v>
      </c>
      <c r="S125" s="107">
        <v>0.17660000000000001</v>
      </c>
      <c r="T125" s="107" t="s">
        <v>552</v>
      </c>
      <c r="U125" s="107">
        <v>0.2772</v>
      </c>
      <c r="V125" s="107">
        <v>0.21809999999999999</v>
      </c>
      <c r="W125" s="107">
        <v>0.10059999999999999</v>
      </c>
      <c r="X125" s="13">
        <v>-4.3900000000000002E-2</v>
      </c>
      <c r="Y125" s="13">
        <v>-0.17660000000000001</v>
      </c>
      <c r="Z125" s="13" t="s">
        <v>553</v>
      </c>
      <c r="AA125" s="13">
        <v>-0.2772</v>
      </c>
      <c r="AB125" s="13">
        <v>-0.21809999999999999</v>
      </c>
      <c r="AC125" s="13">
        <v>-0.10059999999999999</v>
      </c>
      <c r="AF125" s="13" t="s">
        <v>59</v>
      </c>
      <c r="AG125" s="13">
        <v>4.3400000000000001E-2</v>
      </c>
      <c r="AH125" s="13">
        <v>0.17480000000000001</v>
      </c>
      <c r="AI125" s="13">
        <v>0.25919999999999999</v>
      </c>
      <c r="AJ125" s="13">
        <v>0.27429999999999999</v>
      </c>
      <c r="AK125" s="13">
        <v>0.21579999999999999</v>
      </c>
      <c r="AL125" s="13">
        <v>9.9500000000000005E-2</v>
      </c>
      <c r="AM125" s="13">
        <v>-4.3400000000000001E-2</v>
      </c>
      <c r="AN125" s="13">
        <v>-0.17480000000000001</v>
      </c>
      <c r="AO125" s="13">
        <v>-0.25919999999999999</v>
      </c>
      <c r="AP125" s="13">
        <v>-0.27429999999999999</v>
      </c>
      <c r="AQ125" s="13">
        <v>-0.21579999999999999</v>
      </c>
      <c r="AR125" s="13">
        <v>-9.9500000000000005E-2</v>
      </c>
      <c r="AT125" s="31"/>
      <c r="AU125" s="107">
        <v>9</v>
      </c>
      <c r="AV125" s="107">
        <v>2.7099999999999999E-2</v>
      </c>
      <c r="AW125" s="107" t="s">
        <v>581</v>
      </c>
      <c r="AX125" s="107">
        <v>0.16170000000000001</v>
      </c>
      <c r="AY125" s="107">
        <v>0.1711</v>
      </c>
      <c r="AZ125" s="107">
        <v>0.1346</v>
      </c>
      <c r="BA125" s="107">
        <v>6.2100000000000002E-2</v>
      </c>
      <c r="BB125" s="13">
        <v>-2.7099999999999999E-2</v>
      </c>
      <c r="BC125" s="13" t="s">
        <v>582</v>
      </c>
      <c r="BD125" s="13">
        <v>-0.16170000000000001</v>
      </c>
      <c r="BE125" s="13">
        <v>-0.1711</v>
      </c>
      <c r="BF125" s="13">
        <v>-0.1346</v>
      </c>
      <c r="BG125" s="13">
        <v>-6.2100000000000002E-2</v>
      </c>
    </row>
    <row r="126" spans="1:59" ht="16" thickBot="1" x14ac:dyDescent="0.4">
      <c r="A126" s="106"/>
      <c r="B126" s="107" t="s">
        <v>62</v>
      </c>
      <c r="C126" s="107">
        <v>0.89049999999999996</v>
      </c>
      <c r="D126" s="107">
        <v>3.2963</v>
      </c>
      <c r="E126" s="107">
        <v>4.8189000000000002</v>
      </c>
      <c r="F126" s="107">
        <v>5.0503</v>
      </c>
      <c r="G126" s="107">
        <v>3.9283999999999999</v>
      </c>
      <c r="H126" s="107">
        <v>1.7539</v>
      </c>
      <c r="I126" s="13">
        <v>-0.89049999999999996</v>
      </c>
      <c r="J126" s="13">
        <v>-3.2963</v>
      </c>
      <c r="K126" s="13">
        <v>-4.8189000000000002</v>
      </c>
      <c r="L126" s="13">
        <v>-5.0503</v>
      </c>
      <c r="M126" s="13">
        <v>-3.9283999999999999</v>
      </c>
      <c r="N126" s="13">
        <v>-1.7539</v>
      </c>
      <c r="P126" s="31"/>
      <c r="Q126" s="107" t="s">
        <v>62</v>
      </c>
      <c r="R126" s="107">
        <v>4.87E-2</v>
      </c>
      <c r="S126" s="107">
        <v>0.1804</v>
      </c>
      <c r="T126" s="107">
        <v>0.26369999999999999</v>
      </c>
      <c r="U126" s="107">
        <v>0.27629999999999999</v>
      </c>
      <c r="V126" s="107" t="s">
        <v>554</v>
      </c>
      <c r="W126" s="107" t="s">
        <v>555</v>
      </c>
      <c r="X126" s="13">
        <v>-4.87E-2</v>
      </c>
      <c r="Y126" s="13">
        <v>-0.1804</v>
      </c>
      <c r="Z126" s="13">
        <v>-0.26369999999999999</v>
      </c>
      <c r="AA126" s="13">
        <v>-0.27629999999999999</v>
      </c>
      <c r="AB126" s="13" t="s">
        <v>556</v>
      </c>
      <c r="AC126" s="13" t="s">
        <v>557</v>
      </c>
      <c r="AF126" s="13" t="s">
        <v>62</v>
      </c>
      <c r="AG126" s="13">
        <v>4.82E-2</v>
      </c>
      <c r="AH126" s="13">
        <v>0.17849999999999999</v>
      </c>
      <c r="AI126" s="13">
        <v>0.26090000000000002</v>
      </c>
      <c r="AJ126" s="13">
        <v>0.27350000000000002</v>
      </c>
      <c r="AK126" s="13">
        <v>0.2127</v>
      </c>
      <c r="AL126" s="13" t="s">
        <v>571</v>
      </c>
      <c r="AM126" s="13">
        <v>-4.82E-2</v>
      </c>
      <c r="AN126" s="13">
        <v>-0.17849999999999999</v>
      </c>
      <c r="AO126" s="13">
        <v>-0.26090000000000002</v>
      </c>
      <c r="AP126" s="13">
        <v>-0.27350000000000002</v>
      </c>
      <c r="AQ126" s="13">
        <v>-0.2127</v>
      </c>
      <c r="AR126" s="13" t="s">
        <v>572</v>
      </c>
      <c r="AT126" s="31"/>
      <c r="AU126" s="107">
        <v>10</v>
      </c>
      <c r="AV126" s="107">
        <v>3.0099999999999998E-2</v>
      </c>
      <c r="AW126" s="107">
        <v>0.1114</v>
      </c>
      <c r="AX126" s="107">
        <v>0.1628</v>
      </c>
      <c r="AY126" s="107">
        <v>0.1706</v>
      </c>
      <c r="AZ126" s="107">
        <v>0.13270000000000001</v>
      </c>
      <c r="BA126" s="107">
        <v>5.9299999999999999E-2</v>
      </c>
      <c r="BB126" s="13">
        <v>-3.0099999999999998E-2</v>
      </c>
      <c r="BC126" s="13">
        <v>-0.1114</v>
      </c>
      <c r="BD126" s="13">
        <v>-0.1628</v>
      </c>
      <c r="BE126" s="13">
        <v>-0.1706</v>
      </c>
      <c r="BF126" s="13">
        <v>-0.13270000000000001</v>
      </c>
      <c r="BG126" s="13">
        <v>-5.9299999999999999E-2</v>
      </c>
    </row>
    <row r="127" spans="1:59" ht="16" thickBot="1" x14ac:dyDescent="0.4">
      <c r="A127" s="106"/>
      <c r="B127" s="107" t="s">
        <v>63</v>
      </c>
      <c r="C127" s="107">
        <v>0.97850000000000004</v>
      </c>
      <c r="D127" s="107">
        <v>3.3643999999999998</v>
      </c>
      <c r="E127" s="107">
        <v>4.8487999999999998</v>
      </c>
      <c r="F127" s="107" t="s">
        <v>535</v>
      </c>
      <c r="G127" s="107">
        <v>3.8702999999999999</v>
      </c>
      <c r="H127" s="107">
        <v>1.6696</v>
      </c>
      <c r="I127" s="13">
        <v>-0.97850000000000004</v>
      </c>
      <c r="J127" s="13">
        <v>-3.3643999999999998</v>
      </c>
      <c r="K127" s="13">
        <v>-4.8487999999999998</v>
      </c>
      <c r="L127" s="13" t="s">
        <v>536</v>
      </c>
      <c r="M127" s="13">
        <v>-3.8702999999999999</v>
      </c>
      <c r="N127" s="13">
        <v>-1.6696</v>
      </c>
      <c r="P127" s="31"/>
      <c r="Q127" s="107" t="s">
        <v>63</v>
      </c>
      <c r="R127" s="107">
        <v>5.3499999999999999E-2</v>
      </c>
      <c r="S127" s="107">
        <v>0.18410000000000001</v>
      </c>
      <c r="T127" s="107">
        <v>0.26529999999999998</v>
      </c>
      <c r="U127" s="107">
        <v>0.27550000000000002</v>
      </c>
      <c r="V127" s="107">
        <v>0.21179999999999999</v>
      </c>
      <c r="W127" s="107">
        <v>9.1399999999999995E-2</v>
      </c>
      <c r="X127" s="13">
        <v>-5.3499999999999999E-2</v>
      </c>
      <c r="Y127" s="13">
        <v>-0.18410000000000001</v>
      </c>
      <c r="Z127" s="13">
        <v>-0.26529999999999998</v>
      </c>
      <c r="AA127" s="13">
        <v>-0.27550000000000002</v>
      </c>
      <c r="AB127" s="13">
        <v>-0.21179999999999999</v>
      </c>
      <c r="AC127" s="13">
        <v>-9.1399999999999995E-2</v>
      </c>
      <c r="AF127" s="13" t="s">
        <v>63</v>
      </c>
      <c r="AG127" s="13" t="s">
        <v>266</v>
      </c>
      <c r="AH127" s="13">
        <v>0.1822</v>
      </c>
      <c r="AI127" s="13">
        <v>0.2626</v>
      </c>
      <c r="AJ127" s="13">
        <v>0.27260000000000001</v>
      </c>
      <c r="AK127" s="13">
        <v>0.20960000000000001</v>
      </c>
      <c r="AL127" s="13">
        <v>9.0399999999999994E-2</v>
      </c>
      <c r="AM127" s="13" t="s">
        <v>267</v>
      </c>
      <c r="AN127" s="13">
        <v>-0.1822</v>
      </c>
      <c r="AO127" s="13">
        <v>-0.2626</v>
      </c>
      <c r="AP127" s="13">
        <v>-0.27260000000000001</v>
      </c>
      <c r="AQ127" s="13">
        <v>-0.20960000000000001</v>
      </c>
      <c r="AR127" s="13">
        <v>-9.0399999999999994E-2</v>
      </c>
      <c r="AT127" s="31"/>
      <c r="AU127" s="107">
        <v>11</v>
      </c>
      <c r="AV127" s="107">
        <v>3.3099999999999997E-2</v>
      </c>
      <c r="AW127" s="107">
        <v>0.1137</v>
      </c>
      <c r="AX127" s="107">
        <v>0.1638</v>
      </c>
      <c r="AY127" s="107">
        <v>0.1701</v>
      </c>
      <c r="AZ127" s="107">
        <v>0.13070000000000001</v>
      </c>
      <c r="BA127" s="107">
        <v>5.6399999999999999E-2</v>
      </c>
      <c r="BB127" s="13">
        <v>-3.3099999999999997E-2</v>
      </c>
      <c r="BC127" s="13">
        <v>-0.1137</v>
      </c>
      <c r="BD127" s="13">
        <v>-0.1638</v>
      </c>
      <c r="BE127" s="13">
        <v>-0.1701</v>
      </c>
      <c r="BF127" s="13">
        <v>-0.13070000000000001</v>
      </c>
      <c r="BG127" s="13">
        <v>-5.6399999999999999E-2</v>
      </c>
    </row>
    <row r="128" spans="1:59" ht="16" thickBot="1" x14ac:dyDescent="0.4">
      <c r="A128" s="106"/>
      <c r="B128" s="107" t="s">
        <v>64</v>
      </c>
      <c r="C128" s="107">
        <v>1.0662</v>
      </c>
      <c r="D128" s="107">
        <v>3.4314</v>
      </c>
      <c r="E128" s="107">
        <v>4.8772000000000002</v>
      </c>
      <c r="F128" s="107">
        <v>5.0160999999999998</v>
      </c>
      <c r="G128" s="107" t="s">
        <v>537</v>
      </c>
      <c r="H128" s="107">
        <v>1.5847</v>
      </c>
      <c r="I128" s="13">
        <v>-1.0662</v>
      </c>
      <c r="J128" s="13">
        <v>-3.4314</v>
      </c>
      <c r="K128" s="13">
        <v>-4.8772000000000002</v>
      </c>
      <c r="L128" s="13">
        <v>-5.0160999999999998</v>
      </c>
      <c r="M128" s="13" t="s">
        <v>538</v>
      </c>
      <c r="N128" s="13">
        <v>-1.5847</v>
      </c>
      <c r="P128" s="31"/>
      <c r="Q128" s="107" t="s">
        <v>64</v>
      </c>
      <c r="R128" s="107">
        <v>5.8299999999999998E-2</v>
      </c>
      <c r="S128" s="107">
        <v>0.18779999999999999</v>
      </c>
      <c r="T128" s="107">
        <v>0.26690000000000003</v>
      </c>
      <c r="U128" s="107">
        <v>0.27450000000000002</v>
      </c>
      <c r="V128" s="107">
        <v>0.20849999999999999</v>
      </c>
      <c r="W128" s="107">
        <v>8.6699999999999999E-2</v>
      </c>
      <c r="X128" s="13">
        <v>-5.8299999999999998E-2</v>
      </c>
      <c r="Y128" s="13">
        <v>-0.18779999999999999</v>
      </c>
      <c r="Z128" s="13">
        <v>-0.26690000000000003</v>
      </c>
      <c r="AA128" s="13">
        <v>-0.27450000000000002</v>
      </c>
      <c r="AB128" s="13">
        <v>-0.20849999999999999</v>
      </c>
      <c r="AC128" s="13">
        <v>-8.6699999999999999E-2</v>
      </c>
      <c r="AF128" s="13" t="s">
        <v>64</v>
      </c>
      <c r="AG128" s="13">
        <v>5.7700000000000001E-2</v>
      </c>
      <c r="AH128" s="13">
        <v>0.18579999999999999</v>
      </c>
      <c r="AI128" s="13">
        <v>0.2641</v>
      </c>
      <c r="AJ128" s="13">
        <v>0.27160000000000001</v>
      </c>
      <c r="AK128" s="13">
        <v>0.2064</v>
      </c>
      <c r="AL128" s="13">
        <v>8.5800000000000001E-2</v>
      </c>
      <c r="AM128" s="13">
        <v>-5.7700000000000001E-2</v>
      </c>
      <c r="AN128" s="13">
        <v>-0.18579999999999999</v>
      </c>
      <c r="AO128" s="13">
        <v>-0.2641</v>
      </c>
      <c r="AP128" s="13">
        <v>-0.27160000000000001</v>
      </c>
      <c r="AQ128" s="13">
        <v>-0.2064</v>
      </c>
      <c r="AR128" s="13">
        <v>-8.5800000000000001E-2</v>
      </c>
      <c r="AT128" s="31"/>
      <c r="AU128" s="107">
        <v>12</v>
      </c>
      <c r="AV128" s="107" t="s">
        <v>583</v>
      </c>
      <c r="AW128" s="107">
        <v>0.1159</v>
      </c>
      <c r="AX128" s="107">
        <v>0.1648</v>
      </c>
      <c r="AY128" s="107">
        <v>0.16950000000000001</v>
      </c>
      <c r="AZ128" s="107">
        <v>0.12870000000000001</v>
      </c>
      <c r="BA128" s="107">
        <v>5.3499999999999999E-2</v>
      </c>
      <c r="BB128" s="13" t="s">
        <v>584</v>
      </c>
      <c r="BC128" s="13">
        <v>-0.1159</v>
      </c>
      <c r="BD128" s="13">
        <v>-0.1648</v>
      </c>
      <c r="BE128" s="13">
        <v>-0.16950000000000001</v>
      </c>
      <c r="BF128" s="13">
        <v>-0.12870000000000001</v>
      </c>
      <c r="BG128" s="13">
        <v>-5.3499999999999999E-2</v>
      </c>
    </row>
    <row r="129" spans="1:59" ht="16" thickBot="1" x14ac:dyDescent="0.4">
      <c r="A129" s="106"/>
      <c r="B129" s="107" t="s">
        <v>68</v>
      </c>
      <c r="C129" s="107">
        <v>1.1536</v>
      </c>
      <c r="D129" s="107">
        <v>3.4973999999999998</v>
      </c>
      <c r="E129" s="107">
        <v>4.9040999999999997</v>
      </c>
      <c r="F129" s="107">
        <v>4.9968000000000004</v>
      </c>
      <c r="G129" s="107">
        <v>3.7505000000000002</v>
      </c>
      <c r="H129" s="107">
        <v>1.4993000000000001</v>
      </c>
      <c r="I129" s="13">
        <v>-1.1536</v>
      </c>
      <c r="J129" s="13">
        <v>-3.4973999999999998</v>
      </c>
      <c r="K129" s="13">
        <v>-4.9040999999999997</v>
      </c>
      <c r="L129" s="13">
        <v>-4.9968000000000004</v>
      </c>
      <c r="M129" s="13">
        <v>-3.7505000000000002</v>
      </c>
      <c r="N129" s="13">
        <v>-1.4993000000000001</v>
      </c>
      <c r="P129" s="31"/>
      <c r="Q129" s="107" t="s">
        <v>68</v>
      </c>
      <c r="R129" s="107">
        <v>6.3100000000000003E-2</v>
      </c>
      <c r="S129" s="107">
        <v>0.19139999999999999</v>
      </c>
      <c r="T129" s="107">
        <v>0.26829999999999998</v>
      </c>
      <c r="U129" s="107">
        <v>0.27339999999999998</v>
      </c>
      <c r="V129" s="107">
        <v>0.20519999999999999</v>
      </c>
      <c r="W129" s="107" t="s">
        <v>558</v>
      </c>
      <c r="X129" s="13">
        <v>-6.3100000000000003E-2</v>
      </c>
      <c r="Y129" s="13">
        <v>-0.19139999999999999</v>
      </c>
      <c r="Z129" s="13">
        <v>-0.26829999999999998</v>
      </c>
      <c r="AA129" s="13">
        <v>-0.27339999999999998</v>
      </c>
      <c r="AB129" s="13">
        <v>-0.20519999999999999</v>
      </c>
      <c r="AC129" s="13" t="s">
        <v>559</v>
      </c>
      <c r="AF129" s="13" t="s">
        <v>68</v>
      </c>
      <c r="AG129" s="13">
        <v>6.25E-2</v>
      </c>
      <c r="AH129" s="13">
        <v>0.18940000000000001</v>
      </c>
      <c r="AI129" s="13">
        <v>0.2656</v>
      </c>
      <c r="AJ129" s="13">
        <v>0.27060000000000001</v>
      </c>
      <c r="AK129" s="13">
        <v>0.2031</v>
      </c>
      <c r="AL129" s="13">
        <v>8.1199999999999994E-2</v>
      </c>
      <c r="AM129" s="13">
        <v>-6.25E-2</v>
      </c>
      <c r="AN129" s="13">
        <v>-0.18940000000000001</v>
      </c>
      <c r="AO129" s="13">
        <v>-0.2656</v>
      </c>
      <c r="AP129" s="13">
        <v>-0.27060000000000001</v>
      </c>
      <c r="AQ129" s="13">
        <v>-0.2031</v>
      </c>
      <c r="AR129" s="13">
        <v>-8.1199999999999994E-2</v>
      </c>
      <c r="AT129" s="31"/>
      <c r="AU129" s="107">
        <v>13</v>
      </c>
      <c r="AV129" s="107" t="s">
        <v>308</v>
      </c>
      <c r="AW129" s="107">
        <v>0.1181</v>
      </c>
      <c r="AX129" s="107">
        <v>0.16569999999999999</v>
      </c>
      <c r="AY129" s="107">
        <v>0.16880000000000001</v>
      </c>
      <c r="AZ129" s="107">
        <v>0.12670000000000001</v>
      </c>
      <c r="BA129" s="107">
        <v>5.0599999999999999E-2</v>
      </c>
      <c r="BB129" s="13" t="s">
        <v>311</v>
      </c>
      <c r="BC129" s="13">
        <v>-0.1181</v>
      </c>
      <c r="BD129" s="13">
        <v>-0.16569999999999999</v>
      </c>
      <c r="BE129" s="13">
        <v>-0.16880000000000001</v>
      </c>
      <c r="BF129" s="13">
        <v>-0.12670000000000001</v>
      </c>
      <c r="BG129" s="13">
        <v>-5.0599999999999999E-2</v>
      </c>
    </row>
    <row r="130" spans="1:59" ht="16" thickBot="1" x14ac:dyDescent="0.4">
      <c r="A130" s="106"/>
      <c r="B130" s="107" t="s">
        <v>71</v>
      </c>
      <c r="C130" s="107">
        <v>1.2405999999999999</v>
      </c>
      <c r="D130" s="107">
        <v>3.5623</v>
      </c>
      <c r="E130" s="107">
        <v>4.9295</v>
      </c>
      <c r="F130" s="107">
        <v>4.9759000000000002</v>
      </c>
      <c r="G130" s="107">
        <v>3.6888999999999998</v>
      </c>
      <c r="H130" s="107">
        <v>1.4135</v>
      </c>
      <c r="I130" s="13">
        <v>-1.2405999999999999</v>
      </c>
      <c r="J130" s="13">
        <v>-3.5623</v>
      </c>
      <c r="K130" s="13">
        <v>-4.9295</v>
      </c>
      <c r="L130" s="13">
        <v>-4.9759000000000002</v>
      </c>
      <c r="M130" s="13">
        <v>-3.6888999999999998</v>
      </c>
      <c r="N130" s="13">
        <v>-1.4135</v>
      </c>
      <c r="P130" s="31"/>
      <c r="Q130" s="107" t="s">
        <v>71</v>
      </c>
      <c r="R130" s="107">
        <v>6.7900000000000002E-2</v>
      </c>
      <c r="S130" s="107">
        <v>0.19489999999999999</v>
      </c>
      <c r="T130" s="107">
        <v>0.2697</v>
      </c>
      <c r="U130" s="107">
        <v>0.27229999999999999</v>
      </c>
      <c r="V130" s="107">
        <v>0.2019</v>
      </c>
      <c r="W130" s="107">
        <v>7.7299999999999994E-2</v>
      </c>
      <c r="X130" s="13">
        <v>-6.7900000000000002E-2</v>
      </c>
      <c r="Y130" s="13">
        <v>-0.19489999999999999</v>
      </c>
      <c r="Z130" s="13">
        <v>-0.2697</v>
      </c>
      <c r="AA130" s="13">
        <v>-0.27229999999999999</v>
      </c>
      <c r="AB130" s="13">
        <v>-0.2019</v>
      </c>
      <c r="AC130" s="13">
        <v>-7.7299999999999994E-2</v>
      </c>
      <c r="AF130" s="13" t="s">
        <v>71</v>
      </c>
      <c r="AG130" s="13">
        <v>6.7199999999999996E-2</v>
      </c>
      <c r="AH130" s="13">
        <v>0.19289999999999999</v>
      </c>
      <c r="AI130" s="13">
        <v>0.26690000000000003</v>
      </c>
      <c r="AJ130" s="13">
        <v>0.26939999999999997</v>
      </c>
      <c r="AK130" s="13">
        <v>0.19980000000000001</v>
      </c>
      <c r="AL130" s="13">
        <v>7.6499999999999999E-2</v>
      </c>
      <c r="AM130" s="13">
        <v>-6.7199999999999996E-2</v>
      </c>
      <c r="AN130" s="13">
        <v>-0.19289999999999999</v>
      </c>
      <c r="AO130" s="13">
        <v>-0.26690000000000003</v>
      </c>
      <c r="AP130" s="13">
        <v>-0.26939999999999997</v>
      </c>
      <c r="AQ130" s="13">
        <v>-0.19980000000000001</v>
      </c>
      <c r="AR130" s="13">
        <v>-7.6499999999999999E-2</v>
      </c>
      <c r="AT130" s="31"/>
      <c r="AU130" s="107">
        <v>14</v>
      </c>
      <c r="AV130" s="107">
        <v>4.19E-2</v>
      </c>
      <c r="AW130" s="107">
        <v>0.1203</v>
      </c>
      <c r="AX130" s="107">
        <v>0.16650000000000001</v>
      </c>
      <c r="AY130" s="107">
        <v>0.1681</v>
      </c>
      <c r="AZ130" s="107">
        <v>0.1246</v>
      </c>
      <c r="BA130" s="107">
        <v>4.7800000000000002E-2</v>
      </c>
      <c r="BB130" s="13">
        <v>-4.19E-2</v>
      </c>
      <c r="BC130" s="13">
        <v>-0.1203</v>
      </c>
      <c r="BD130" s="13">
        <v>-0.16650000000000001</v>
      </c>
      <c r="BE130" s="13">
        <v>-0.1681</v>
      </c>
      <c r="BF130" s="13">
        <v>-0.1246</v>
      </c>
      <c r="BG130" s="13">
        <v>-4.7800000000000002E-2</v>
      </c>
    </row>
    <row r="131" spans="1:59" ht="16" thickBot="1" x14ac:dyDescent="0.4">
      <c r="A131" s="106"/>
      <c r="B131" s="107" t="s">
        <v>72</v>
      </c>
      <c r="C131" s="107">
        <v>1.3272999999999999</v>
      </c>
      <c r="D131" s="107">
        <v>3.6261999999999999</v>
      </c>
      <c r="E131" s="107">
        <v>4.9535</v>
      </c>
      <c r="F131" s="107">
        <v>4.9535</v>
      </c>
      <c r="G131" s="107">
        <v>3.6261999999999999</v>
      </c>
      <c r="H131" s="107">
        <v>1.3272999999999999</v>
      </c>
      <c r="I131" s="13">
        <v>-1.3272999999999999</v>
      </c>
      <c r="J131" s="13">
        <v>-3.6261999999999999</v>
      </c>
      <c r="K131" s="13">
        <v>-4.9535</v>
      </c>
      <c r="L131" s="13">
        <v>-4.9535</v>
      </c>
      <c r="M131" s="13">
        <v>-3.6261999999999999</v>
      </c>
      <c r="N131" s="13">
        <v>-1.3272999999999999</v>
      </c>
      <c r="P131" s="31"/>
      <c r="Q131" s="107" t="s">
        <v>72</v>
      </c>
      <c r="R131" s="107">
        <v>7.2599999999999998E-2</v>
      </c>
      <c r="S131" s="107">
        <v>0.19839999999999999</v>
      </c>
      <c r="T131" s="107" t="s">
        <v>560</v>
      </c>
      <c r="U131" s="107" t="s">
        <v>560</v>
      </c>
      <c r="V131" s="107">
        <v>0.19839999999999999</v>
      </c>
      <c r="W131" s="107">
        <v>7.2599999999999998E-2</v>
      </c>
      <c r="X131" s="13">
        <v>-7.2599999999999998E-2</v>
      </c>
      <c r="Y131" s="13">
        <v>-0.19839999999999999</v>
      </c>
      <c r="Z131" s="13" t="s">
        <v>561</v>
      </c>
      <c r="AA131" s="13" t="s">
        <v>561</v>
      </c>
      <c r="AB131" s="13">
        <v>-0.19839999999999999</v>
      </c>
      <c r="AC131" s="13">
        <v>-7.2599999999999998E-2</v>
      </c>
      <c r="AF131" s="13" t="s">
        <v>72</v>
      </c>
      <c r="AG131" s="13">
        <v>7.1900000000000006E-2</v>
      </c>
      <c r="AH131" s="13">
        <v>0.19639999999999999</v>
      </c>
      <c r="AI131" s="13">
        <v>0.26819999999999999</v>
      </c>
      <c r="AJ131" s="13">
        <v>0.26819999999999999</v>
      </c>
      <c r="AK131" s="13">
        <v>0.19639999999999999</v>
      </c>
      <c r="AL131" s="13">
        <v>7.1900000000000006E-2</v>
      </c>
      <c r="AM131" s="13">
        <v>-7.1900000000000006E-2</v>
      </c>
      <c r="AN131" s="13">
        <v>-0.19639999999999999</v>
      </c>
      <c r="AO131" s="13">
        <v>-0.26819999999999999</v>
      </c>
      <c r="AP131" s="13">
        <v>-0.26819999999999999</v>
      </c>
      <c r="AQ131" s="13">
        <v>-0.19639999999999999</v>
      </c>
      <c r="AR131" s="13">
        <v>-7.1900000000000006E-2</v>
      </c>
      <c r="AT131" s="31"/>
      <c r="AU131" s="107">
        <v>15</v>
      </c>
      <c r="AV131" s="107">
        <v>4.48E-2</v>
      </c>
      <c r="AW131" s="107">
        <v>0.1225</v>
      </c>
      <c r="AX131" s="107">
        <v>0.1673</v>
      </c>
      <c r="AY131" s="107">
        <v>0.1673</v>
      </c>
      <c r="AZ131" s="107">
        <v>0.1225</v>
      </c>
      <c r="BA131" s="107">
        <v>4.48E-2</v>
      </c>
      <c r="BB131" s="13">
        <v>-4.48E-2</v>
      </c>
      <c r="BC131" s="13">
        <v>-0.1225</v>
      </c>
      <c r="BD131" s="13">
        <v>-0.1673</v>
      </c>
      <c r="BE131" s="13">
        <v>-0.1673</v>
      </c>
      <c r="BF131" s="13">
        <v>-0.1225</v>
      </c>
      <c r="BG131" s="13">
        <v>-4.48E-2</v>
      </c>
    </row>
    <row r="132" spans="1:59" ht="16" thickBot="1" x14ac:dyDescent="0.4">
      <c r="A132" s="106"/>
      <c r="B132" s="107" t="s">
        <v>73</v>
      </c>
      <c r="C132" s="107">
        <v>1.4135</v>
      </c>
      <c r="D132" s="107">
        <v>3.6888999999999998</v>
      </c>
      <c r="E132" s="107">
        <v>4.9759000000000002</v>
      </c>
      <c r="F132" s="107">
        <v>4.9295</v>
      </c>
      <c r="G132" s="107">
        <v>3.5623</v>
      </c>
      <c r="H132" s="107">
        <v>1.2405999999999999</v>
      </c>
      <c r="I132" s="13">
        <v>-1.4135</v>
      </c>
      <c r="J132" s="13">
        <v>-3.6888999999999998</v>
      </c>
      <c r="K132" s="13">
        <v>-4.9759000000000002</v>
      </c>
      <c r="L132" s="13">
        <v>-4.9295</v>
      </c>
      <c r="M132" s="13">
        <v>-3.5623</v>
      </c>
      <c r="N132" s="13">
        <v>-1.2405999999999999</v>
      </c>
      <c r="P132" s="31"/>
      <c r="Q132" s="107" t="s">
        <v>73</v>
      </c>
      <c r="R132" s="107">
        <v>7.7299999999999994E-2</v>
      </c>
      <c r="S132" s="107">
        <v>0.2019</v>
      </c>
      <c r="T132" s="107">
        <v>0.27229999999999999</v>
      </c>
      <c r="U132" s="107">
        <v>0.2697</v>
      </c>
      <c r="V132" s="107">
        <v>0.19489999999999999</v>
      </c>
      <c r="W132" s="107">
        <v>6.7900000000000002E-2</v>
      </c>
      <c r="X132" s="13">
        <v>-7.7299999999999994E-2</v>
      </c>
      <c r="Y132" s="13">
        <v>-0.2019</v>
      </c>
      <c r="Z132" s="13">
        <v>-0.27229999999999999</v>
      </c>
      <c r="AA132" s="13">
        <v>-0.2697</v>
      </c>
      <c r="AB132" s="13">
        <v>-0.19489999999999999</v>
      </c>
      <c r="AC132" s="13">
        <v>-6.7900000000000002E-2</v>
      </c>
      <c r="AF132" s="13" t="s">
        <v>73</v>
      </c>
      <c r="AG132" s="13">
        <v>7.6499999999999999E-2</v>
      </c>
      <c r="AH132" s="13">
        <v>0.19980000000000001</v>
      </c>
      <c r="AI132" s="13">
        <v>0.26939999999999997</v>
      </c>
      <c r="AJ132" s="13">
        <v>0.26690000000000003</v>
      </c>
      <c r="AK132" s="13">
        <v>0.19289999999999999</v>
      </c>
      <c r="AL132" s="13">
        <v>6.7199999999999996E-2</v>
      </c>
      <c r="AM132" s="13">
        <v>-7.6499999999999999E-2</v>
      </c>
      <c r="AN132" s="13">
        <v>-0.19980000000000001</v>
      </c>
      <c r="AO132" s="13">
        <v>-0.26939999999999997</v>
      </c>
      <c r="AP132" s="13">
        <v>-0.26690000000000003</v>
      </c>
      <c r="AQ132" s="13">
        <v>-0.19289999999999999</v>
      </c>
      <c r="AR132" s="13">
        <v>-6.7199999999999996E-2</v>
      </c>
      <c r="AT132" s="31"/>
      <c r="AU132" s="107">
        <v>16</v>
      </c>
      <c r="AV132" s="107">
        <v>4.7800000000000002E-2</v>
      </c>
      <c r="AW132" s="107">
        <v>0.1246</v>
      </c>
      <c r="AX132" s="107">
        <v>0.1681</v>
      </c>
      <c r="AY132" s="107">
        <v>0.16650000000000001</v>
      </c>
      <c r="AZ132" s="107">
        <v>0.1203</v>
      </c>
      <c r="BA132" s="107">
        <v>4.19E-2</v>
      </c>
      <c r="BB132" s="13">
        <v>-4.7800000000000002E-2</v>
      </c>
      <c r="BC132" s="13">
        <v>-0.1246</v>
      </c>
      <c r="BD132" s="13">
        <v>-0.1681</v>
      </c>
      <c r="BE132" s="13">
        <v>-0.16650000000000001</v>
      </c>
      <c r="BF132" s="13">
        <v>-0.1203</v>
      </c>
      <c r="BG132" s="13">
        <v>-4.19E-2</v>
      </c>
    </row>
    <row r="133" spans="1:59" ht="16" thickBot="1" x14ac:dyDescent="0.4">
      <c r="A133" s="106"/>
      <c r="B133" s="107" t="s">
        <v>74</v>
      </c>
      <c r="C133" s="107">
        <v>1.4993000000000001</v>
      </c>
      <c r="D133" s="107">
        <v>3.7505000000000002</v>
      </c>
      <c r="E133" s="107">
        <v>4.9968000000000004</v>
      </c>
      <c r="F133" s="107">
        <v>4.9040999999999997</v>
      </c>
      <c r="G133" s="107">
        <v>3.4973999999999998</v>
      </c>
      <c r="H133" s="107">
        <v>1.1536</v>
      </c>
      <c r="I133" s="13">
        <v>-1.4993000000000001</v>
      </c>
      <c r="J133" s="13">
        <v>-3.7505000000000002</v>
      </c>
      <c r="K133" s="13">
        <v>-4.9968000000000004</v>
      </c>
      <c r="L133" s="13">
        <v>-4.9040999999999997</v>
      </c>
      <c r="M133" s="13">
        <v>-3.4973999999999998</v>
      </c>
      <c r="N133" s="13">
        <v>-1.1536</v>
      </c>
      <c r="P133" s="31"/>
      <c r="Q133" s="107" t="s">
        <v>74</v>
      </c>
      <c r="R133" s="107" t="s">
        <v>558</v>
      </c>
      <c r="S133" s="107">
        <v>0.20519999999999999</v>
      </c>
      <c r="T133" s="107">
        <v>0.27339999999999998</v>
      </c>
      <c r="U133" s="107">
        <v>0.26829999999999998</v>
      </c>
      <c r="V133" s="107">
        <v>0.19139999999999999</v>
      </c>
      <c r="W133" s="107">
        <v>6.3100000000000003E-2</v>
      </c>
      <c r="X133" s="13" t="s">
        <v>559</v>
      </c>
      <c r="Y133" s="13">
        <v>-0.20519999999999999</v>
      </c>
      <c r="Z133" s="13">
        <v>-0.27339999999999998</v>
      </c>
      <c r="AA133" s="13">
        <v>-0.26829999999999998</v>
      </c>
      <c r="AB133" s="13">
        <v>-0.19139999999999999</v>
      </c>
      <c r="AC133" s="13">
        <v>-6.3100000000000003E-2</v>
      </c>
      <c r="AF133" s="13" t="s">
        <v>74</v>
      </c>
      <c r="AG133" s="13">
        <v>8.1199999999999994E-2</v>
      </c>
      <c r="AH133" s="13">
        <v>0.2031</v>
      </c>
      <c r="AI133" s="13">
        <v>0.27060000000000001</v>
      </c>
      <c r="AJ133" s="13">
        <v>0.2656</v>
      </c>
      <c r="AK133" s="13">
        <v>0.18940000000000001</v>
      </c>
      <c r="AL133" s="13">
        <v>6.25E-2</v>
      </c>
      <c r="AM133" s="13">
        <v>-8.1199999999999994E-2</v>
      </c>
      <c r="AN133" s="13">
        <v>-0.2031</v>
      </c>
      <c r="AO133" s="13">
        <v>-0.27060000000000001</v>
      </c>
      <c r="AP133" s="13">
        <v>-0.2656</v>
      </c>
      <c r="AQ133" s="13">
        <v>-0.18940000000000001</v>
      </c>
      <c r="AR133" s="13">
        <v>-6.25E-2</v>
      </c>
      <c r="AT133" s="31"/>
      <c r="AU133" s="107">
        <v>17</v>
      </c>
      <c r="AV133" s="107">
        <v>5.0599999999999999E-2</v>
      </c>
      <c r="AW133" s="107">
        <v>0.12670000000000001</v>
      </c>
      <c r="AX133" s="107">
        <v>0.16880000000000001</v>
      </c>
      <c r="AY133" s="107">
        <v>0.16569999999999999</v>
      </c>
      <c r="AZ133" s="107">
        <v>0.1181</v>
      </c>
      <c r="BA133" s="107" t="s">
        <v>308</v>
      </c>
      <c r="BB133" s="13">
        <v>-5.0599999999999999E-2</v>
      </c>
      <c r="BC133" s="13">
        <v>-0.12670000000000001</v>
      </c>
      <c r="BD133" s="13">
        <v>-0.16880000000000001</v>
      </c>
      <c r="BE133" s="13">
        <v>-0.16569999999999999</v>
      </c>
      <c r="BF133" s="13">
        <v>-0.1181</v>
      </c>
      <c r="BG133" s="13" t="s">
        <v>311</v>
      </c>
    </row>
    <row r="134" spans="1:59" ht="16" thickBot="1" x14ac:dyDescent="0.4">
      <c r="A134" s="106"/>
      <c r="B134" s="107" t="s">
        <v>75</v>
      </c>
      <c r="C134" s="107">
        <v>1.5847</v>
      </c>
      <c r="D134" s="107" t="s">
        <v>537</v>
      </c>
      <c r="E134" s="107">
        <v>5.0160999999999998</v>
      </c>
      <c r="F134" s="107">
        <v>4.8772000000000002</v>
      </c>
      <c r="G134" s="107">
        <v>3.4314</v>
      </c>
      <c r="H134" s="107">
        <v>1.0662</v>
      </c>
      <c r="I134" s="13">
        <v>-1.5847</v>
      </c>
      <c r="J134" s="13" t="s">
        <v>538</v>
      </c>
      <c r="K134" s="13">
        <v>-5.0160999999999998</v>
      </c>
      <c r="L134" s="13">
        <v>-4.8772000000000002</v>
      </c>
      <c r="M134" s="13">
        <v>-3.4314</v>
      </c>
      <c r="N134" s="13">
        <v>-1.0662</v>
      </c>
      <c r="P134" s="31"/>
      <c r="Q134" s="107" t="s">
        <v>75</v>
      </c>
      <c r="R134" s="107">
        <v>8.6699999999999999E-2</v>
      </c>
      <c r="S134" s="107">
        <v>0.20849999999999999</v>
      </c>
      <c r="T134" s="107">
        <v>0.27450000000000002</v>
      </c>
      <c r="U134" s="107">
        <v>0.26690000000000003</v>
      </c>
      <c r="V134" s="107">
        <v>0.18779999999999999</v>
      </c>
      <c r="W134" s="107">
        <v>5.8299999999999998E-2</v>
      </c>
      <c r="X134" s="13">
        <v>-8.6699999999999999E-2</v>
      </c>
      <c r="Y134" s="13">
        <v>-0.20849999999999999</v>
      </c>
      <c r="Z134" s="13">
        <v>-0.27450000000000002</v>
      </c>
      <c r="AA134" s="13">
        <v>-0.26690000000000003</v>
      </c>
      <c r="AB134" s="13">
        <v>-0.18779999999999999</v>
      </c>
      <c r="AC134" s="13">
        <v>-5.8299999999999998E-2</v>
      </c>
      <c r="AF134" s="13" t="s">
        <v>75</v>
      </c>
      <c r="AG134" s="13">
        <v>8.5800000000000001E-2</v>
      </c>
      <c r="AH134" s="13">
        <v>0.2064</v>
      </c>
      <c r="AI134" s="13">
        <v>0.27160000000000001</v>
      </c>
      <c r="AJ134" s="13">
        <v>0.2641</v>
      </c>
      <c r="AK134" s="13">
        <v>0.18579999999999999</v>
      </c>
      <c r="AL134" s="13">
        <v>5.7700000000000001E-2</v>
      </c>
      <c r="AM134" s="13">
        <v>-8.5800000000000001E-2</v>
      </c>
      <c r="AN134" s="13">
        <v>-0.2064</v>
      </c>
      <c r="AO134" s="13">
        <v>-0.27160000000000001</v>
      </c>
      <c r="AP134" s="13">
        <v>-0.2641</v>
      </c>
      <c r="AQ134" s="13">
        <v>-0.18579999999999999</v>
      </c>
      <c r="AR134" s="13">
        <v>-5.7700000000000001E-2</v>
      </c>
      <c r="AT134" s="31"/>
      <c r="AU134" s="107">
        <v>18</v>
      </c>
      <c r="AV134" s="107">
        <v>5.3499999999999999E-2</v>
      </c>
      <c r="AW134" s="107">
        <v>0.12870000000000001</v>
      </c>
      <c r="AX134" s="107">
        <v>0.16950000000000001</v>
      </c>
      <c r="AY134" s="107">
        <v>0.1648</v>
      </c>
      <c r="AZ134" s="107">
        <v>0.1159</v>
      </c>
      <c r="BA134" s="107" t="s">
        <v>583</v>
      </c>
      <c r="BB134" s="13">
        <v>-5.3499999999999999E-2</v>
      </c>
      <c r="BC134" s="13">
        <v>-0.12870000000000001</v>
      </c>
      <c r="BD134" s="13">
        <v>-0.16950000000000001</v>
      </c>
      <c r="BE134" s="13">
        <v>-0.1648</v>
      </c>
      <c r="BF134" s="13">
        <v>-0.1159</v>
      </c>
      <c r="BG134" s="13" t="s">
        <v>584</v>
      </c>
    </row>
    <row r="135" spans="1:59" ht="16" thickBot="1" x14ac:dyDescent="0.4">
      <c r="A135" s="106"/>
      <c r="B135" s="107" t="s">
        <v>77</v>
      </c>
      <c r="C135" s="107">
        <v>1.6696</v>
      </c>
      <c r="D135" s="107">
        <v>3.8702999999999999</v>
      </c>
      <c r="E135" s="107" t="s">
        <v>535</v>
      </c>
      <c r="F135" s="107">
        <v>4.8487999999999998</v>
      </c>
      <c r="G135" s="107">
        <v>3.3643999999999998</v>
      </c>
      <c r="H135" s="107">
        <v>0.97850000000000004</v>
      </c>
      <c r="I135" s="13">
        <v>-1.6696</v>
      </c>
      <c r="J135" s="13">
        <v>-3.8702999999999999</v>
      </c>
      <c r="K135" s="13" t="s">
        <v>536</v>
      </c>
      <c r="L135" s="13">
        <v>-4.8487999999999998</v>
      </c>
      <c r="M135" s="13">
        <v>-3.3643999999999998</v>
      </c>
      <c r="N135" s="13">
        <v>-0.97850000000000004</v>
      </c>
      <c r="P135" s="31"/>
      <c r="Q135" s="107" t="s">
        <v>77</v>
      </c>
      <c r="R135" s="107">
        <v>9.1399999999999995E-2</v>
      </c>
      <c r="S135" s="107">
        <v>0.21179999999999999</v>
      </c>
      <c r="T135" s="107">
        <v>0.27550000000000002</v>
      </c>
      <c r="U135" s="107">
        <v>0.26529999999999998</v>
      </c>
      <c r="V135" s="107">
        <v>0.18410000000000001</v>
      </c>
      <c r="W135" s="107">
        <v>5.3499999999999999E-2</v>
      </c>
      <c r="X135" s="13">
        <v>-9.1399999999999995E-2</v>
      </c>
      <c r="Y135" s="13">
        <v>-0.21179999999999999</v>
      </c>
      <c r="Z135" s="13">
        <v>-0.27550000000000002</v>
      </c>
      <c r="AA135" s="13">
        <v>-0.26529999999999998</v>
      </c>
      <c r="AB135" s="13">
        <v>-0.18410000000000001</v>
      </c>
      <c r="AC135" s="13">
        <v>-5.3499999999999999E-2</v>
      </c>
      <c r="AF135" s="13" t="s">
        <v>77</v>
      </c>
      <c r="AG135" s="13">
        <v>9.0399999999999994E-2</v>
      </c>
      <c r="AH135" s="13">
        <v>0.20960000000000001</v>
      </c>
      <c r="AI135" s="13">
        <v>0.27260000000000001</v>
      </c>
      <c r="AJ135" s="13">
        <v>0.2626</v>
      </c>
      <c r="AK135" s="13">
        <v>0.1822</v>
      </c>
      <c r="AL135" s="13" t="s">
        <v>266</v>
      </c>
      <c r="AM135" s="13">
        <v>-9.0399999999999994E-2</v>
      </c>
      <c r="AN135" s="13">
        <v>-0.20960000000000001</v>
      </c>
      <c r="AO135" s="13">
        <v>-0.27260000000000001</v>
      </c>
      <c r="AP135" s="13">
        <v>-0.2626</v>
      </c>
      <c r="AQ135" s="13">
        <v>-0.1822</v>
      </c>
      <c r="AR135" s="13" t="s">
        <v>267</v>
      </c>
      <c r="AT135" s="31"/>
      <c r="AU135" s="107">
        <v>19</v>
      </c>
      <c r="AV135" s="107">
        <v>5.6399999999999999E-2</v>
      </c>
      <c r="AW135" s="107">
        <v>0.13070000000000001</v>
      </c>
      <c r="AX135" s="107">
        <v>0.1701</v>
      </c>
      <c r="AY135" s="107">
        <v>0.1638</v>
      </c>
      <c r="AZ135" s="107">
        <v>0.1137</v>
      </c>
      <c r="BA135" s="107">
        <v>3.3099999999999997E-2</v>
      </c>
      <c r="BB135" s="13">
        <v>-5.6399999999999999E-2</v>
      </c>
      <c r="BC135" s="13">
        <v>-0.13070000000000001</v>
      </c>
      <c r="BD135" s="13">
        <v>-0.1701</v>
      </c>
      <c r="BE135" s="13">
        <v>-0.1638</v>
      </c>
      <c r="BF135" s="13">
        <v>-0.1137</v>
      </c>
      <c r="BG135" s="13">
        <v>-3.3099999999999997E-2</v>
      </c>
    </row>
    <row r="136" spans="1:59" ht="16" thickBot="1" x14ac:dyDescent="0.4">
      <c r="A136" s="106"/>
      <c r="B136" s="107" t="s">
        <v>78</v>
      </c>
      <c r="C136" s="107">
        <v>1.7539</v>
      </c>
      <c r="D136" s="107">
        <v>3.9283999999999999</v>
      </c>
      <c r="E136" s="107">
        <v>5.0503</v>
      </c>
      <c r="F136" s="107">
        <v>4.8189000000000002</v>
      </c>
      <c r="G136" s="107">
        <v>3.2963</v>
      </c>
      <c r="H136" s="107">
        <v>0.89049999999999996</v>
      </c>
      <c r="I136" s="13">
        <v>-1.7539</v>
      </c>
      <c r="J136" s="13">
        <v>-3.9283999999999999</v>
      </c>
      <c r="K136" s="13">
        <v>-5.0503</v>
      </c>
      <c r="L136" s="13">
        <v>-4.8189000000000002</v>
      </c>
      <c r="M136" s="13">
        <v>-3.2963</v>
      </c>
      <c r="N136" s="13">
        <v>-0.89049999999999996</v>
      </c>
      <c r="P136" s="31"/>
      <c r="Q136" s="107" t="s">
        <v>78</v>
      </c>
      <c r="R136" s="107" t="s">
        <v>555</v>
      </c>
      <c r="S136" s="107" t="s">
        <v>554</v>
      </c>
      <c r="T136" s="107">
        <v>0.27629999999999999</v>
      </c>
      <c r="U136" s="107">
        <v>0.26369999999999999</v>
      </c>
      <c r="V136" s="107">
        <v>0.1804</v>
      </c>
      <c r="W136" s="107">
        <v>4.87E-2</v>
      </c>
      <c r="X136" s="13" t="s">
        <v>557</v>
      </c>
      <c r="Y136" s="13" t="s">
        <v>556</v>
      </c>
      <c r="Z136" s="13">
        <v>-0.27629999999999999</v>
      </c>
      <c r="AA136" s="13">
        <v>-0.26369999999999999</v>
      </c>
      <c r="AB136" s="13">
        <v>-0.1804</v>
      </c>
      <c r="AC136" s="13">
        <v>-4.87E-2</v>
      </c>
      <c r="AF136" s="13" t="s">
        <v>78</v>
      </c>
      <c r="AG136" s="13">
        <v>9.5000000000000001E-2</v>
      </c>
      <c r="AH136" s="13">
        <v>0.2127</v>
      </c>
      <c r="AI136" s="13">
        <v>0.27350000000000002</v>
      </c>
      <c r="AJ136" s="13">
        <v>0.26090000000000002</v>
      </c>
      <c r="AK136" s="13">
        <v>0.17849999999999999</v>
      </c>
      <c r="AL136" s="13">
        <v>4.82E-2</v>
      </c>
      <c r="AM136" s="13" t="s">
        <v>572</v>
      </c>
      <c r="AN136" s="13">
        <v>-0.2127</v>
      </c>
      <c r="AO136" s="13">
        <v>-0.27350000000000002</v>
      </c>
      <c r="AP136" s="13">
        <v>-0.26090000000000002</v>
      </c>
      <c r="AQ136" s="13">
        <v>-0.17849999999999999</v>
      </c>
      <c r="AR136" s="13">
        <v>-4.82E-2</v>
      </c>
      <c r="AT136" s="31"/>
      <c r="AU136" s="107">
        <v>20</v>
      </c>
      <c r="AV136" s="107">
        <v>5.9299999999999999E-2</v>
      </c>
      <c r="AW136" s="107">
        <v>0.13270000000000001</v>
      </c>
      <c r="AX136" s="107">
        <v>0.1706</v>
      </c>
      <c r="AY136" s="107">
        <v>0.1628</v>
      </c>
      <c r="AZ136" s="107">
        <v>0.1114</v>
      </c>
      <c r="BA136" s="107">
        <v>3.0099999999999998E-2</v>
      </c>
      <c r="BB136" s="13">
        <v>-5.9299999999999999E-2</v>
      </c>
      <c r="BC136" s="13">
        <v>-0.13270000000000001</v>
      </c>
      <c r="BD136" s="13">
        <v>-0.1706</v>
      </c>
      <c r="BE136" s="13">
        <v>-0.1628</v>
      </c>
      <c r="BF136" s="13">
        <v>-0.1114</v>
      </c>
      <c r="BG136" s="13">
        <v>-3.0099999999999998E-2</v>
      </c>
    </row>
    <row r="137" spans="1:59" ht="16" thickBot="1" x14ac:dyDescent="0.4">
      <c r="A137" s="106"/>
      <c r="B137" s="107" t="s">
        <v>79</v>
      </c>
      <c r="C137" s="107">
        <v>1.8378000000000001</v>
      </c>
      <c r="D137" s="107">
        <v>3.9853999999999998</v>
      </c>
      <c r="E137" s="107">
        <v>5.0651000000000002</v>
      </c>
      <c r="F137" s="107">
        <v>4.7876000000000003</v>
      </c>
      <c r="G137" s="107">
        <v>3.2273000000000001</v>
      </c>
      <c r="H137" s="107">
        <v>0.80220000000000002</v>
      </c>
      <c r="I137" s="13">
        <v>-1.8378000000000001</v>
      </c>
      <c r="J137" s="13">
        <v>-3.9853999999999998</v>
      </c>
      <c r="K137" s="13">
        <v>-5.0651000000000002</v>
      </c>
      <c r="L137" s="13">
        <v>-4.7876000000000003</v>
      </c>
      <c r="M137" s="13">
        <v>-3.2273000000000001</v>
      </c>
      <c r="N137" s="13">
        <v>-0.80220000000000002</v>
      </c>
      <c r="P137" s="31"/>
      <c r="Q137" s="107" t="s">
        <v>79</v>
      </c>
      <c r="R137" s="107">
        <v>0.10059999999999999</v>
      </c>
      <c r="S137" s="107">
        <v>0.21809999999999999</v>
      </c>
      <c r="T137" s="107">
        <v>0.2772</v>
      </c>
      <c r="U137" s="107" t="s">
        <v>552</v>
      </c>
      <c r="V137" s="107">
        <v>0.17660000000000001</v>
      </c>
      <c r="W137" s="107">
        <v>4.3900000000000002E-2</v>
      </c>
      <c r="X137" s="13">
        <v>-0.10059999999999999</v>
      </c>
      <c r="Y137" s="13">
        <v>-0.21809999999999999</v>
      </c>
      <c r="Z137" s="13">
        <v>-0.2772</v>
      </c>
      <c r="AA137" s="13" t="s">
        <v>553</v>
      </c>
      <c r="AB137" s="13">
        <v>-0.17660000000000001</v>
      </c>
      <c r="AC137" s="13">
        <v>-4.3900000000000002E-2</v>
      </c>
      <c r="AF137" s="13" t="s">
        <v>79</v>
      </c>
      <c r="AG137" s="13">
        <v>9.9500000000000005E-2</v>
      </c>
      <c r="AH137" s="13">
        <v>0.21579999999999999</v>
      </c>
      <c r="AI137" s="13">
        <v>0.27429999999999999</v>
      </c>
      <c r="AJ137" s="13">
        <v>0.25919999999999999</v>
      </c>
      <c r="AK137" s="13">
        <v>0.17480000000000001</v>
      </c>
      <c r="AL137" s="13">
        <v>4.3400000000000001E-2</v>
      </c>
      <c r="AM137" s="13">
        <v>-9.9500000000000005E-2</v>
      </c>
      <c r="AN137" s="13">
        <v>-0.21579999999999999</v>
      </c>
      <c r="AO137" s="13">
        <v>-0.27429999999999999</v>
      </c>
      <c r="AP137" s="13">
        <v>-0.25919999999999999</v>
      </c>
      <c r="AQ137" s="13">
        <v>-0.17480000000000001</v>
      </c>
      <c r="AR137" s="13">
        <v>-4.3400000000000001E-2</v>
      </c>
      <c r="AT137" s="31"/>
      <c r="AU137" s="107">
        <v>21</v>
      </c>
      <c r="AV137" s="107">
        <v>6.2100000000000002E-2</v>
      </c>
      <c r="AW137" s="107">
        <v>0.1346</v>
      </c>
      <c r="AX137" s="107">
        <v>0.1711</v>
      </c>
      <c r="AY137" s="107">
        <v>0.16170000000000001</v>
      </c>
      <c r="AZ137" s="107" t="s">
        <v>581</v>
      </c>
      <c r="BA137" s="107">
        <v>2.7099999999999999E-2</v>
      </c>
      <c r="BB137" s="13">
        <v>-6.2100000000000002E-2</v>
      </c>
      <c r="BC137" s="13">
        <v>-0.1346</v>
      </c>
      <c r="BD137" s="13">
        <v>-0.1711</v>
      </c>
      <c r="BE137" s="13">
        <v>-0.16170000000000001</v>
      </c>
      <c r="BF137" s="13" t="s">
        <v>582</v>
      </c>
      <c r="BG137" s="13">
        <v>-2.7099999999999999E-2</v>
      </c>
    </row>
    <row r="138" spans="1:59" ht="16" thickBot="1" x14ac:dyDescent="0.4">
      <c r="A138" s="106"/>
      <c r="B138" s="107" t="s">
        <v>80</v>
      </c>
      <c r="C138" s="107">
        <v>1.9211</v>
      </c>
      <c r="D138" s="107">
        <v>4.0411000000000001</v>
      </c>
      <c r="E138" s="107">
        <v>5.0782999999999996</v>
      </c>
      <c r="F138" s="107">
        <v>4.7548000000000004</v>
      </c>
      <c r="G138" s="107">
        <v>3.1572</v>
      </c>
      <c r="H138" s="107">
        <v>0.7137</v>
      </c>
      <c r="I138" s="13">
        <v>-1.9211</v>
      </c>
      <c r="J138" s="13">
        <v>-4.0411000000000001</v>
      </c>
      <c r="K138" s="13">
        <v>-5.0782999999999996</v>
      </c>
      <c r="L138" s="13">
        <v>-4.7548000000000004</v>
      </c>
      <c r="M138" s="13">
        <v>-3.1572</v>
      </c>
      <c r="N138" s="13">
        <v>-0.7137</v>
      </c>
      <c r="P138" s="31"/>
      <c r="Q138" s="107" t="s">
        <v>80</v>
      </c>
      <c r="R138" s="107">
        <v>0.1051</v>
      </c>
      <c r="S138" s="107">
        <v>0.22109999999999999</v>
      </c>
      <c r="T138" s="107">
        <v>0.27789999999999998</v>
      </c>
      <c r="U138" s="107">
        <v>0.26019999999999999</v>
      </c>
      <c r="V138" s="107">
        <v>0.17280000000000001</v>
      </c>
      <c r="W138" s="107">
        <v>3.9100000000000003E-2</v>
      </c>
      <c r="X138" s="13">
        <v>-0.1051</v>
      </c>
      <c r="Y138" s="13">
        <v>-0.22109999999999999</v>
      </c>
      <c r="Z138" s="13">
        <v>-0.27789999999999998</v>
      </c>
      <c r="AA138" s="13">
        <v>-0.26019999999999999</v>
      </c>
      <c r="AB138" s="13">
        <v>-0.17280000000000001</v>
      </c>
      <c r="AC138" s="13">
        <v>-3.9100000000000003E-2</v>
      </c>
      <c r="AF138" s="13" t="s">
        <v>80</v>
      </c>
      <c r="AG138" s="13" t="s">
        <v>567</v>
      </c>
      <c r="AH138" s="13">
        <v>0.21879999999999999</v>
      </c>
      <c r="AI138" s="13" t="s">
        <v>566</v>
      </c>
      <c r="AJ138" s="13">
        <v>0.25750000000000001</v>
      </c>
      <c r="AK138" s="13" t="s">
        <v>565</v>
      </c>
      <c r="AL138" s="13">
        <v>3.8600000000000002E-2</v>
      </c>
      <c r="AM138" s="13" t="s">
        <v>570</v>
      </c>
      <c r="AN138" s="13">
        <v>-0.21879999999999999</v>
      </c>
      <c r="AO138" s="13" t="s">
        <v>569</v>
      </c>
      <c r="AP138" s="13">
        <v>-0.25750000000000001</v>
      </c>
      <c r="AQ138" s="13" t="s">
        <v>568</v>
      </c>
      <c r="AR138" s="13">
        <v>-3.8600000000000002E-2</v>
      </c>
      <c r="AT138" s="31"/>
      <c r="AU138" s="107">
        <v>22</v>
      </c>
      <c r="AV138" s="107">
        <v>6.4899999999999999E-2</v>
      </c>
      <c r="AW138" s="107">
        <v>0.13650000000000001</v>
      </c>
      <c r="AX138" s="107">
        <v>0.1716</v>
      </c>
      <c r="AY138" s="107">
        <v>0.16059999999999999</v>
      </c>
      <c r="AZ138" s="107">
        <v>0.1067</v>
      </c>
      <c r="BA138" s="107">
        <v>2.41E-2</v>
      </c>
      <c r="BB138" s="13">
        <v>-6.4899999999999999E-2</v>
      </c>
      <c r="BC138" s="13">
        <v>-0.13650000000000001</v>
      </c>
      <c r="BD138" s="13">
        <v>-0.1716</v>
      </c>
      <c r="BE138" s="13">
        <v>-0.16059999999999999</v>
      </c>
      <c r="BF138" s="13">
        <v>-0.1067</v>
      </c>
      <c r="BG138" s="13">
        <v>-2.41E-2</v>
      </c>
    </row>
    <row r="139" spans="1:59" ht="16" thickBot="1" x14ac:dyDescent="0.4">
      <c r="A139" s="106"/>
      <c r="B139" s="107" t="s">
        <v>81</v>
      </c>
      <c r="C139" s="107">
        <v>2.0036999999999998</v>
      </c>
      <c r="D139" s="107">
        <v>4.0956000000000001</v>
      </c>
      <c r="E139" s="107" t="s">
        <v>532</v>
      </c>
      <c r="F139" s="107">
        <v>4.7205000000000004</v>
      </c>
      <c r="G139" s="107">
        <v>3.0861999999999998</v>
      </c>
      <c r="H139" s="107" t="s">
        <v>531</v>
      </c>
      <c r="I139" s="13">
        <v>-2.0036999999999998</v>
      </c>
      <c r="J139" s="13">
        <v>-4.0956000000000001</v>
      </c>
      <c r="K139" s="13" t="s">
        <v>534</v>
      </c>
      <c r="L139" s="13">
        <v>-4.7205000000000004</v>
      </c>
      <c r="M139" s="13">
        <v>-3.0861999999999998</v>
      </c>
      <c r="N139" s="13" t="s">
        <v>533</v>
      </c>
      <c r="P139" s="31"/>
      <c r="Q139" s="107" t="s">
        <v>81</v>
      </c>
      <c r="R139" s="107">
        <v>0.1096</v>
      </c>
      <c r="S139" s="107">
        <v>0.22409999999999999</v>
      </c>
      <c r="T139" s="107">
        <v>0.27850000000000003</v>
      </c>
      <c r="U139" s="107">
        <v>0.25829999999999997</v>
      </c>
      <c r="V139" s="107">
        <v>0.16889999999999999</v>
      </c>
      <c r="W139" s="107">
        <v>3.4200000000000001E-2</v>
      </c>
      <c r="X139" s="13">
        <v>-0.1096</v>
      </c>
      <c r="Y139" s="13">
        <v>-0.22409999999999999</v>
      </c>
      <c r="Z139" s="13">
        <v>-0.27850000000000003</v>
      </c>
      <c r="AA139" s="13">
        <v>-0.25829999999999997</v>
      </c>
      <c r="AB139" s="13">
        <v>-0.16889999999999999</v>
      </c>
      <c r="AC139" s="13">
        <v>-3.4200000000000001E-2</v>
      </c>
      <c r="AF139" s="13" t="s">
        <v>81</v>
      </c>
      <c r="AG139" s="13">
        <v>0.1085</v>
      </c>
      <c r="AH139" s="13">
        <v>0.2218</v>
      </c>
      <c r="AI139" s="13">
        <v>0.27560000000000001</v>
      </c>
      <c r="AJ139" s="13">
        <v>0.25559999999999999</v>
      </c>
      <c r="AK139" s="13">
        <v>0.1671</v>
      </c>
      <c r="AL139" s="13">
        <v>3.3799999999999997E-2</v>
      </c>
      <c r="AM139" s="13">
        <v>-0.1085</v>
      </c>
      <c r="AN139" s="13">
        <v>-0.2218</v>
      </c>
      <c r="AO139" s="13">
        <v>-0.27560000000000001</v>
      </c>
      <c r="AP139" s="13">
        <v>-0.25559999999999999</v>
      </c>
      <c r="AQ139" s="13">
        <v>-0.1671</v>
      </c>
      <c r="AR139" s="13">
        <v>-3.3799999999999997E-2</v>
      </c>
      <c r="AT139" s="31"/>
      <c r="AU139" s="107">
        <v>23</v>
      </c>
      <c r="AV139" s="107">
        <v>6.7699999999999996E-2</v>
      </c>
      <c r="AW139" s="107">
        <v>0.1384</v>
      </c>
      <c r="AX139" s="107">
        <v>0.1719</v>
      </c>
      <c r="AY139" s="107">
        <v>0.1595</v>
      </c>
      <c r="AZ139" s="107">
        <v>0.1043</v>
      </c>
      <c r="BA139" s="107">
        <v>2.1100000000000001E-2</v>
      </c>
      <c r="BB139" s="13">
        <v>-6.7699999999999996E-2</v>
      </c>
      <c r="BC139" s="13">
        <v>-0.1384</v>
      </c>
      <c r="BD139" s="13">
        <v>-0.1719</v>
      </c>
      <c r="BE139" s="13">
        <v>-0.1595</v>
      </c>
      <c r="BF139" s="13">
        <v>-0.1043</v>
      </c>
      <c r="BG139" s="13">
        <v>-2.1100000000000001E-2</v>
      </c>
    </row>
    <row r="140" spans="1:59" ht="16" thickBot="1" x14ac:dyDescent="0.4">
      <c r="A140" s="106"/>
      <c r="B140" s="107" t="s">
        <v>82</v>
      </c>
      <c r="C140" s="107">
        <v>2.0857999999999999</v>
      </c>
      <c r="D140" s="107">
        <v>4.1487999999999996</v>
      </c>
      <c r="E140" s="107">
        <v>5.1001000000000003</v>
      </c>
      <c r="F140" s="107">
        <v>4.6848000000000001</v>
      </c>
      <c r="G140" s="107">
        <v>3.0143</v>
      </c>
      <c r="H140" s="107" t="s">
        <v>529</v>
      </c>
      <c r="I140" s="13">
        <v>-2.0857999999999999</v>
      </c>
      <c r="J140" s="13">
        <v>-4.1487999999999996</v>
      </c>
      <c r="K140" s="13">
        <v>-5.1001000000000003</v>
      </c>
      <c r="L140" s="13">
        <v>-4.6848000000000001</v>
      </c>
      <c r="M140" s="13">
        <v>-3.0143</v>
      </c>
      <c r="N140" s="13" t="s">
        <v>530</v>
      </c>
      <c r="P140" s="31"/>
      <c r="Q140" s="107" t="s">
        <v>82</v>
      </c>
      <c r="R140" s="107">
        <v>0.11409999999999999</v>
      </c>
      <c r="S140" s="107" t="s">
        <v>550</v>
      </c>
      <c r="T140" s="107">
        <v>0.27910000000000001</v>
      </c>
      <c r="U140" s="107">
        <v>0.25629999999999997</v>
      </c>
      <c r="V140" s="107">
        <v>0.16489999999999999</v>
      </c>
      <c r="W140" s="107">
        <v>2.93E-2</v>
      </c>
      <c r="X140" s="13">
        <v>-0.11409999999999999</v>
      </c>
      <c r="Y140" s="13" t="s">
        <v>551</v>
      </c>
      <c r="Z140" s="13">
        <v>-0.27910000000000001</v>
      </c>
      <c r="AA140" s="13">
        <v>-0.25629999999999997</v>
      </c>
      <c r="AB140" s="13">
        <v>-0.16489999999999999</v>
      </c>
      <c r="AC140" s="13">
        <v>-2.93E-2</v>
      </c>
      <c r="AF140" s="13" t="s">
        <v>82</v>
      </c>
      <c r="AG140" s="13">
        <v>0.1129</v>
      </c>
      <c r="AH140" s="13">
        <v>0.22470000000000001</v>
      </c>
      <c r="AI140" s="13">
        <v>0.2762</v>
      </c>
      <c r="AJ140" s="13">
        <v>0.25369999999999998</v>
      </c>
      <c r="AK140" s="13">
        <v>0.16320000000000001</v>
      </c>
      <c r="AL140" s="13" t="s">
        <v>260</v>
      </c>
      <c r="AM140" s="13">
        <v>-0.1129</v>
      </c>
      <c r="AN140" s="13">
        <v>-0.22470000000000001</v>
      </c>
      <c r="AO140" s="13">
        <v>-0.2762</v>
      </c>
      <c r="AP140" s="13">
        <v>-0.25369999999999998</v>
      </c>
      <c r="AQ140" s="13">
        <v>-0.16320000000000001</v>
      </c>
      <c r="AR140" s="13" t="s">
        <v>261</v>
      </c>
      <c r="AT140" s="31"/>
      <c r="AU140" s="107">
        <v>24</v>
      </c>
      <c r="AV140" s="107">
        <v>7.0499999999999993E-2</v>
      </c>
      <c r="AW140" s="107">
        <v>0.14019999999999999</v>
      </c>
      <c r="AX140" s="107">
        <v>0.17230000000000001</v>
      </c>
      <c r="AY140" s="107">
        <v>0.1583</v>
      </c>
      <c r="AZ140" s="107">
        <v>0.1018</v>
      </c>
      <c r="BA140" s="107">
        <v>1.8100000000000002E-2</v>
      </c>
      <c r="BB140" s="13">
        <v>-7.0499999999999993E-2</v>
      </c>
      <c r="BC140" s="13">
        <v>-0.14019999999999999</v>
      </c>
      <c r="BD140" s="13">
        <v>-0.17230000000000001</v>
      </c>
      <c r="BE140" s="13">
        <v>-0.1583</v>
      </c>
      <c r="BF140" s="13">
        <v>-0.1018</v>
      </c>
      <c r="BG140" s="13">
        <v>-1.8100000000000002E-2</v>
      </c>
    </row>
    <row r="141" spans="1:59" ht="16" thickBot="1" x14ac:dyDescent="0.4">
      <c r="A141" s="106"/>
      <c r="B141" s="107" t="s">
        <v>83</v>
      </c>
      <c r="C141" s="107">
        <v>2.1673</v>
      </c>
      <c r="D141" s="107">
        <v>4.2008000000000001</v>
      </c>
      <c r="E141" s="107">
        <v>5.1086999999999998</v>
      </c>
      <c r="F141" s="107">
        <v>4.6477000000000004</v>
      </c>
      <c r="G141" s="107">
        <v>2.9413999999999998</v>
      </c>
      <c r="H141" s="107" t="s">
        <v>527</v>
      </c>
      <c r="I141" s="13">
        <v>-2.1673</v>
      </c>
      <c r="J141" s="13">
        <v>-4.2008000000000001</v>
      </c>
      <c r="K141" s="13">
        <v>-5.1086999999999998</v>
      </c>
      <c r="L141" s="13">
        <v>-4.6477000000000004</v>
      </c>
      <c r="M141" s="13">
        <v>-2.9413999999999998</v>
      </c>
      <c r="N141" s="13" t="s">
        <v>528</v>
      </c>
      <c r="P141" s="31"/>
      <c r="Q141" s="107" t="s">
        <v>83</v>
      </c>
      <c r="R141" s="107">
        <v>0.1186</v>
      </c>
      <c r="S141" s="107">
        <v>0.22989999999999999</v>
      </c>
      <c r="T141" s="107">
        <v>0.27950000000000003</v>
      </c>
      <c r="U141" s="107">
        <v>0.25430000000000003</v>
      </c>
      <c r="V141" s="107">
        <v>0.16089999999999999</v>
      </c>
      <c r="W141" s="107">
        <v>2.4500000000000001E-2</v>
      </c>
      <c r="X141" s="13">
        <v>-0.1186</v>
      </c>
      <c r="Y141" s="13">
        <v>-0.22989999999999999</v>
      </c>
      <c r="Z141" s="13">
        <v>-0.27950000000000003</v>
      </c>
      <c r="AA141" s="13">
        <v>-0.25430000000000003</v>
      </c>
      <c r="AB141" s="13">
        <v>-0.16089999999999999</v>
      </c>
      <c r="AC141" s="13">
        <v>-2.4500000000000001E-2</v>
      </c>
      <c r="AF141" s="13" t="s">
        <v>83</v>
      </c>
      <c r="AG141" s="13">
        <v>0.1174</v>
      </c>
      <c r="AH141" s="13">
        <v>0.22750000000000001</v>
      </c>
      <c r="AI141" s="13">
        <v>0.27660000000000001</v>
      </c>
      <c r="AJ141" s="13">
        <v>0.25169999999999998</v>
      </c>
      <c r="AK141" s="13">
        <v>0.1593</v>
      </c>
      <c r="AL141" s="13">
        <v>2.4199999999999999E-2</v>
      </c>
      <c r="AM141" s="13">
        <v>-0.1174</v>
      </c>
      <c r="AN141" s="13">
        <v>-0.22750000000000001</v>
      </c>
      <c r="AO141" s="13">
        <v>-0.27660000000000001</v>
      </c>
      <c r="AP141" s="13">
        <v>-0.25169999999999998</v>
      </c>
      <c r="AQ141" s="13">
        <v>-0.1593</v>
      </c>
      <c r="AR141" s="13">
        <v>-2.4199999999999999E-2</v>
      </c>
      <c r="AT141" s="31"/>
      <c r="AU141" s="107">
        <v>25</v>
      </c>
      <c r="AV141" s="107">
        <v>7.3200000000000001E-2</v>
      </c>
      <c r="AW141" s="107">
        <v>0.1419</v>
      </c>
      <c r="AX141" s="107">
        <v>0.1726</v>
      </c>
      <c r="AY141" s="107" t="s">
        <v>246</v>
      </c>
      <c r="AZ141" s="107">
        <v>9.9400000000000002E-2</v>
      </c>
      <c r="BA141" s="107">
        <v>1.5100000000000001E-2</v>
      </c>
      <c r="BB141" s="13">
        <v>-7.3200000000000001E-2</v>
      </c>
      <c r="BC141" s="13">
        <v>-0.1419</v>
      </c>
      <c r="BD141" s="13">
        <v>-0.1726</v>
      </c>
      <c r="BE141" s="13" t="s">
        <v>317</v>
      </c>
      <c r="BF141" s="13">
        <v>-9.9400000000000002E-2</v>
      </c>
      <c r="BG141" s="13">
        <v>-1.5100000000000001E-2</v>
      </c>
    </row>
    <row r="142" spans="1:59" ht="16" thickBot="1" x14ac:dyDescent="0.4">
      <c r="A142" s="106"/>
      <c r="B142" s="107" t="s">
        <v>84</v>
      </c>
      <c r="C142" s="107">
        <v>2.2481</v>
      </c>
      <c r="D142" s="107">
        <v>4.2515000000000001</v>
      </c>
      <c r="E142" s="107">
        <v>5.1157000000000004</v>
      </c>
      <c r="F142" s="107">
        <v>4.6092000000000004</v>
      </c>
      <c r="G142" s="107">
        <v>2.8675999999999999</v>
      </c>
      <c r="H142" s="107">
        <v>0.35770000000000002</v>
      </c>
      <c r="I142" s="13">
        <v>-2.2481</v>
      </c>
      <c r="J142" s="13">
        <v>-4.2515000000000001</v>
      </c>
      <c r="K142" s="13">
        <v>-5.1157000000000004</v>
      </c>
      <c r="L142" s="13">
        <v>-4.6092000000000004</v>
      </c>
      <c r="M142" s="13">
        <v>-2.8675999999999999</v>
      </c>
      <c r="N142" s="13">
        <v>-0.35770000000000002</v>
      </c>
      <c r="P142" s="31"/>
      <c r="Q142" s="107" t="s">
        <v>84</v>
      </c>
      <c r="R142" s="107" t="s">
        <v>548</v>
      </c>
      <c r="S142" s="107">
        <v>0.2326</v>
      </c>
      <c r="T142" s="107">
        <v>0.27989999999999998</v>
      </c>
      <c r="U142" s="107">
        <v>0.25219999999999998</v>
      </c>
      <c r="V142" s="107">
        <v>0.15690000000000001</v>
      </c>
      <c r="W142" s="107">
        <v>1.9599999999999999E-2</v>
      </c>
      <c r="X142" s="13" t="s">
        <v>549</v>
      </c>
      <c r="Y142" s="13">
        <v>-0.2326</v>
      </c>
      <c r="Z142" s="13">
        <v>-0.27989999999999998</v>
      </c>
      <c r="AA142" s="13">
        <v>-0.25219999999999998</v>
      </c>
      <c r="AB142" s="13">
        <v>-0.15690000000000001</v>
      </c>
      <c r="AC142" s="13">
        <v>-1.9599999999999999E-2</v>
      </c>
      <c r="AF142" s="13" t="s">
        <v>84</v>
      </c>
      <c r="AG142" s="13">
        <v>0.1217</v>
      </c>
      <c r="AH142" s="13">
        <v>0.23019999999999999</v>
      </c>
      <c r="AI142" s="13" t="s">
        <v>573</v>
      </c>
      <c r="AJ142" s="13">
        <v>0.24959999999999999</v>
      </c>
      <c r="AK142" s="13">
        <v>0.15529999999999999</v>
      </c>
      <c r="AL142" s="13">
        <v>1.9400000000000001E-2</v>
      </c>
      <c r="AM142" s="13">
        <v>-0.1217</v>
      </c>
      <c r="AN142" s="13">
        <v>-0.23019999999999999</v>
      </c>
      <c r="AO142" s="13" t="s">
        <v>574</v>
      </c>
      <c r="AP142" s="13">
        <v>-0.24959999999999999</v>
      </c>
      <c r="AQ142" s="13">
        <v>-0.15529999999999999</v>
      </c>
      <c r="AR142" s="13">
        <v>-1.9400000000000001E-2</v>
      </c>
      <c r="AT142" s="31"/>
      <c r="AU142" s="107">
        <v>26</v>
      </c>
      <c r="AV142" s="107">
        <v>7.5899999999999995E-2</v>
      </c>
      <c r="AW142" s="107">
        <v>0.14360000000000001</v>
      </c>
      <c r="AX142" s="107">
        <v>0.17280000000000001</v>
      </c>
      <c r="AY142" s="107">
        <v>0.15570000000000001</v>
      </c>
      <c r="AZ142" s="107">
        <v>9.69E-2</v>
      </c>
      <c r="BA142" s="107">
        <v>1.21E-2</v>
      </c>
      <c r="BB142" s="13">
        <v>-7.5899999999999995E-2</v>
      </c>
      <c r="BC142" s="13">
        <v>-0.14360000000000001</v>
      </c>
      <c r="BD142" s="13">
        <v>-0.17280000000000001</v>
      </c>
      <c r="BE142" s="13">
        <v>-0.15570000000000001</v>
      </c>
      <c r="BF142" s="13">
        <v>-9.69E-2</v>
      </c>
      <c r="BG142" s="13">
        <v>-1.21E-2</v>
      </c>
    </row>
    <row r="143" spans="1:59" ht="16" thickBot="1" x14ac:dyDescent="0.4">
      <c r="A143" s="106"/>
      <c r="B143" s="107" t="s">
        <v>86</v>
      </c>
      <c r="C143" s="107">
        <v>2.3281000000000001</v>
      </c>
      <c r="D143" s="107">
        <v>4.3009000000000004</v>
      </c>
      <c r="E143" s="107">
        <v>5.1212</v>
      </c>
      <c r="F143" s="107">
        <v>4.5692000000000004</v>
      </c>
      <c r="G143" s="107" t="s">
        <v>525</v>
      </c>
      <c r="H143" s="107">
        <v>0.26840000000000003</v>
      </c>
      <c r="I143" s="13">
        <v>-2.3281000000000001</v>
      </c>
      <c r="J143" s="13">
        <v>-4.3009000000000004</v>
      </c>
      <c r="K143" s="13">
        <v>-5.1212</v>
      </c>
      <c r="L143" s="13">
        <v>-4.5692000000000004</v>
      </c>
      <c r="M143" s="13" t="s">
        <v>526</v>
      </c>
      <c r="N143" s="13">
        <v>-0.26840000000000003</v>
      </c>
      <c r="P143" s="31"/>
      <c r="Q143" s="107" t="s">
        <v>86</v>
      </c>
      <c r="R143" s="107">
        <v>0.12740000000000001</v>
      </c>
      <c r="S143" s="107">
        <v>0.23530000000000001</v>
      </c>
      <c r="T143" s="107">
        <v>0.2802</v>
      </c>
      <c r="U143" s="107" t="s">
        <v>546</v>
      </c>
      <c r="V143" s="107">
        <v>0.15279999999999999</v>
      </c>
      <c r="W143" s="107">
        <v>1.47E-2</v>
      </c>
      <c r="X143" s="13">
        <v>-0.12740000000000001</v>
      </c>
      <c r="Y143" s="13">
        <v>-0.23530000000000001</v>
      </c>
      <c r="Z143" s="13">
        <v>-0.2802</v>
      </c>
      <c r="AA143" s="13" t="s">
        <v>547</v>
      </c>
      <c r="AB143" s="13">
        <v>-0.15279999999999999</v>
      </c>
      <c r="AC143" s="13">
        <v>-1.47E-2</v>
      </c>
      <c r="AF143" s="13" t="s">
        <v>86</v>
      </c>
      <c r="AG143" s="13">
        <v>0.12609999999999999</v>
      </c>
      <c r="AH143" s="13">
        <v>0.2329</v>
      </c>
      <c r="AI143" s="13">
        <v>0.27729999999999999</v>
      </c>
      <c r="AJ143" s="13">
        <v>0.24740000000000001</v>
      </c>
      <c r="AK143" s="13">
        <v>0.1512</v>
      </c>
      <c r="AL143" s="13">
        <v>1.4500000000000001E-2</v>
      </c>
      <c r="AM143" s="13">
        <v>-0.12609999999999999</v>
      </c>
      <c r="AN143" s="13">
        <v>-0.2329</v>
      </c>
      <c r="AO143" s="13">
        <v>-0.27729999999999999</v>
      </c>
      <c r="AP143" s="13">
        <v>-0.24740000000000001</v>
      </c>
      <c r="AQ143" s="13">
        <v>-0.1512</v>
      </c>
      <c r="AR143" s="13">
        <v>-1.4500000000000001E-2</v>
      </c>
      <c r="AT143" s="31"/>
      <c r="AU143" s="107">
        <v>27</v>
      </c>
      <c r="AV143" s="107">
        <v>7.8600000000000003E-2</v>
      </c>
      <c r="AW143" s="107">
        <v>0.14530000000000001</v>
      </c>
      <c r="AX143" s="107" t="s">
        <v>585</v>
      </c>
      <c r="AY143" s="107">
        <v>0.15440000000000001</v>
      </c>
      <c r="AZ143" s="107">
        <v>9.4399999999999998E-2</v>
      </c>
      <c r="BA143" s="107">
        <v>9.1000000000000004E-3</v>
      </c>
      <c r="BB143" s="13">
        <v>-7.8600000000000003E-2</v>
      </c>
      <c r="BC143" s="13">
        <v>-0.14530000000000001</v>
      </c>
      <c r="BD143" s="13">
        <v>-0.17299999999999999</v>
      </c>
      <c r="BE143" s="13">
        <v>-0.15440000000000001</v>
      </c>
      <c r="BF143" s="13">
        <v>-9.4399999999999998E-2</v>
      </c>
      <c r="BG143" s="13">
        <v>-9.1000000000000004E-3</v>
      </c>
    </row>
    <row r="144" spans="1:59" ht="16" thickBot="1" x14ac:dyDescent="0.4">
      <c r="A144" s="106"/>
      <c r="B144" s="107" t="s">
        <v>87</v>
      </c>
      <c r="C144" s="107">
        <v>2.4075000000000002</v>
      </c>
      <c r="D144" s="107" t="s">
        <v>522</v>
      </c>
      <c r="E144" s="107">
        <v>5.1250999999999998</v>
      </c>
      <c r="F144" s="107">
        <v>4.5278999999999998</v>
      </c>
      <c r="G144" s="107">
        <v>2.7174999999999998</v>
      </c>
      <c r="H144" s="107" t="s">
        <v>521</v>
      </c>
      <c r="I144" s="13">
        <v>-2.4075000000000002</v>
      </c>
      <c r="J144" s="13" t="s">
        <v>524</v>
      </c>
      <c r="K144" s="13">
        <v>-5.1250999999999998</v>
      </c>
      <c r="L144" s="13">
        <v>-4.5278999999999998</v>
      </c>
      <c r="M144" s="13">
        <v>-2.7174999999999998</v>
      </c>
      <c r="N144" s="13" t="s">
        <v>523</v>
      </c>
      <c r="P144" s="31"/>
      <c r="Q144" s="107" t="s">
        <v>87</v>
      </c>
      <c r="R144" s="107">
        <v>0.13170000000000001</v>
      </c>
      <c r="S144" s="107" t="s">
        <v>544</v>
      </c>
      <c r="T144" s="107">
        <v>0.28039999999999998</v>
      </c>
      <c r="U144" s="107">
        <v>0.24779999999999999</v>
      </c>
      <c r="V144" s="107">
        <v>0.1487</v>
      </c>
      <c r="W144" s="107">
        <v>9.7999999999999997E-3</v>
      </c>
      <c r="X144" s="13">
        <v>-0.13170000000000001</v>
      </c>
      <c r="Y144" s="13" t="s">
        <v>545</v>
      </c>
      <c r="Z144" s="13">
        <v>-0.28039999999999998</v>
      </c>
      <c r="AA144" s="13">
        <v>-0.24779999999999999</v>
      </c>
      <c r="AB144" s="13">
        <v>-0.1487</v>
      </c>
      <c r="AC144" s="13">
        <v>-9.7999999999999997E-3</v>
      </c>
      <c r="AF144" s="13" t="s">
        <v>87</v>
      </c>
      <c r="AG144" s="13">
        <v>0.13039999999999999</v>
      </c>
      <c r="AH144" s="13">
        <v>0.23549999999999999</v>
      </c>
      <c r="AI144" s="13">
        <v>0.27750000000000002</v>
      </c>
      <c r="AJ144" s="13">
        <v>0.2452</v>
      </c>
      <c r="AK144" s="13">
        <v>0.1472</v>
      </c>
      <c r="AL144" s="13">
        <v>9.7000000000000003E-3</v>
      </c>
      <c r="AM144" s="13">
        <v>-0.13039999999999999</v>
      </c>
      <c r="AN144" s="13">
        <v>-0.23549999999999999</v>
      </c>
      <c r="AO144" s="13">
        <v>-0.27750000000000002</v>
      </c>
      <c r="AP144" s="13">
        <v>-0.2452</v>
      </c>
      <c r="AQ144" s="13">
        <v>-0.1472</v>
      </c>
      <c r="AR144" s="13">
        <v>-9.7000000000000003E-3</v>
      </c>
      <c r="AT144" s="31"/>
      <c r="AU144" s="107">
        <v>28</v>
      </c>
      <c r="AV144" s="107">
        <v>8.1299999999999997E-2</v>
      </c>
      <c r="AW144" s="107">
        <v>0.1469</v>
      </c>
      <c r="AX144" s="107">
        <v>0.1731</v>
      </c>
      <c r="AY144" s="107" t="s">
        <v>578</v>
      </c>
      <c r="AZ144" s="107">
        <v>9.1800000000000007E-2</v>
      </c>
      <c r="BA144" s="107" t="s">
        <v>57</v>
      </c>
      <c r="BB144" s="13">
        <v>-8.1299999999999997E-2</v>
      </c>
      <c r="BC144" s="13">
        <v>-0.1469</v>
      </c>
      <c r="BD144" s="13">
        <v>-0.1731</v>
      </c>
      <c r="BE144" s="13" t="s">
        <v>579</v>
      </c>
      <c r="BF144" s="13">
        <v>-9.1800000000000007E-2</v>
      </c>
      <c r="BG144" s="13" t="s">
        <v>58</v>
      </c>
    </row>
    <row r="145" spans="1:59" ht="16" thickBot="1" x14ac:dyDescent="0.4">
      <c r="A145" s="106"/>
      <c r="B145" s="107" t="s">
        <v>88</v>
      </c>
      <c r="C145" s="107">
        <v>2.4862000000000002</v>
      </c>
      <c r="D145" s="107">
        <v>4.3956999999999997</v>
      </c>
      <c r="E145" s="107">
        <v>5.1273999999999997</v>
      </c>
      <c r="F145" s="107">
        <v>4.4851999999999999</v>
      </c>
      <c r="G145" s="107">
        <v>2.6412</v>
      </c>
      <c r="H145" s="107">
        <v>8.9499999999999996E-2</v>
      </c>
      <c r="I145" s="13">
        <v>-2.4862000000000002</v>
      </c>
      <c r="J145" s="13">
        <v>-4.3956999999999997</v>
      </c>
      <c r="K145" s="13">
        <v>-5.1273999999999997</v>
      </c>
      <c r="L145" s="13">
        <v>-4.4851999999999999</v>
      </c>
      <c r="M145" s="13">
        <v>-2.6412</v>
      </c>
      <c r="N145" s="13">
        <v>-8.9499999999999996E-2</v>
      </c>
      <c r="P145" s="31"/>
      <c r="Q145" s="107" t="s">
        <v>88</v>
      </c>
      <c r="R145" s="107" t="s">
        <v>542</v>
      </c>
      <c r="S145" s="107">
        <v>0.24049999999999999</v>
      </c>
      <c r="T145" s="107">
        <v>0.28060000000000002</v>
      </c>
      <c r="U145" s="107">
        <v>0.24540000000000001</v>
      </c>
      <c r="V145" s="107">
        <v>0.14449999999999999</v>
      </c>
      <c r="W145" s="107">
        <v>4.8999999999999998E-3</v>
      </c>
      <c r="X145" s="13" t="s">
        <v>543</v>
      </c>
      <c r="Y145" s="13">
        <v>-0.24049999999999999</v>
      </c>
      <c r="Z145" s="13">
        <v>-0.28060000000000002</v>
      </c>
      <c r="AA145" s="13">
        <v>-0.24540000000000001</v>
      </c>
      <c r="AB145" s="13">
        <v>-0.14449999999999999</v>
      </c>
      <c r="AC145" s="13">
        <v>-4.8999999999999998E-3</v>
      </c>
      <c r="AF145" s="13" t="s">
        <v>88</v>
      </c>
      <c r="AG145" s="13">
        <v>0.1346</v>
      </c>
      <c r="AH145" s="13" t="s">
        <v>544</v>
      </c>
      <c r="AI145" s="13">
        <v>0.2777</v>
      </c>
      <c r="AJ145" s="13">
        <v>0.2429</v>
      </c>
      <c r="AK145" s="13" t="s">
        <v>563</v>
      </c>
      <c r="AL145" s="13">
        <v>4.7999999999999996E-3</v>
      </c>
      <c r="AM145" s="13">
        <v>-0.1346</v>
      </c>
      <c r="AN145" s="13" t="s">
        <v>545</v>
      </c>
      <c r="AO145" s="13">
        <v>-0.2777</v>
      </c>
      <c r="AP145" s="13">
        <v>-0.2429</v>
      </c>
      <c r="AQ145" s="13" t="s">
        <v>564</v>
      </c>
      <c r="AR145" s="13">
        <v>-4.7999999999999996E-3</v>
      </c>
      <c r="AT145" s="31"/>
      <c r="AU145" s="107">
        <v>29</v>
      </c>
      <c r="AV145" s="107" t="s">
        <v>255</v>
      </c>
      <c r="AW145" s="107">
        <v>0.14849999999999999</v>
      </c>
      <c r="AX145" s="107">
        <v>0.17319999999999999</v>
      </c>
      <c r="AY145" s="107">
        <v>0.1515</v>
      </c>
      <c r="AZ145" s="107">
        <v>8.9200000000000002E-2</v>
      </c>
      <c r="BA145" s="107" t="s">
        <v>258</v>
      </c>
      <c r="BB145" s="13" t="s">
        <v>324</v>
      </c>
      <c r="BC145" s="13">
        <v>-0.14849999999999999</v>
      </c>
      <c r="BD145" s="13">
        <v>-0.17319999999999999</v>
      </c>
      <c r="BE145" s="13">
        <v>-0.1515</v>
      </c>
      <c r="BF145" s="13">
        <v>-8.9200000000000002E-2</v>
      </c>
      <c r="BG145" s="13" t="s">
        <v>259</v>
      </c>
    </row>
    <row r="146" spans="1:59" ht="16" thickBot="1" x14ac:dyDescent="0.4">
      <c r="A146" s="106"/>
      <c r="B146" s="107" t="s">
        <v>17</v>
      </c>
      <c r="C146" s="107">
        <v>2.5640999999999998</v>
      </c>
      <c r="D146" s="107">
        <v>4.4440999999999997</v>
      </c>
      <c r="E146" s="107">
        <v>5.1281999999999996</v>
      </c>
      <c r="F146" s="107">
        <v>4.4440999999999997</v>
      </c>
      <c r="G146" s="107">
        <v>2.5640999999999998</v>
      </c>
      <c r="H146" s="107" t="s">
        <v>22</v>
      </c>
      <c r="I146" s="13">
        <v>-2.5640999999999998</v>
      </c>
      <c r="J146" s="13">
        <v>-4.4440999999999997</v>
      </c>
      <c r="K146" s="13">
        <v>-5.1281999999999996</v>
      </c>
      <c r="L146" s="13">
        <v>-4.4440999999999997</v>
      </c>
      <c r="M146" s="13">
        <v>-2.5640999999999998</v>
      </c>
      <c r="N146" s="13" t="s">
        <v>22</v>
      </c>
      <c r="P146" s="31"/>
      <c r="Q146" s="107" t="s">
        <v>17</v>
      </c>
      <c r="R146" s="107">
        <v>0.14030000000000001</v>
      </c>
      <c r="S146" s="107" t="s">
        <v>540</v>
      </c>
      <c r="T146" s="107">
        <v>0.28060000000000002</v>
      </c>
      <c r="U146" s="107" t="s">
        <v>540</v>
      </c>
      <c r="V146" s="107">
        <v>0.14030000000000001</v>
      </c>
      <c r="W146" s="107" t="s">
        <v>22</v>
      </c>
      <c r="X146" s="13">
        <v>-0.14030000000000001</v>
      </c>
      <c r="Y146" s="13" t="s">
        <v>541</v>
      </c>
      <c r="Z146" s="13">
        <v>-0.28060000000000002</v>
      </c>
      <c r="AA146" s="13" t="s">
        <v>541</v>
      </c>
      <c r="AB146" s="13">
        <v>-0.14030000000000001</v>
      </c>
      <c r="AC146" s="13" t="s">
        <v>22</v>
      </c>
      <c r="AF146" s="13" t="s">
        <v>17</v>
      </c>
      <c r="AG146" s="13">
        <v>0.13880000000000001</v>
      </c>
      <c r="AH146" s="13">
        <v>0.24049999999999999</v>
      </c>
      <c r="AI146" s="13">
        <v>0.2777</v>
      </c>
      <c r="AJ146" s="13">
        <v>0.24049999999999999</v>
      </c>
      <c r="AK146" s="13">
        <v>0.13880000000000001</v>
      </c>
      <c r="AL146" s="13" t="s">
        <v>22</v>
      </c>
      <c r="AM146" s="13">
        <v>-0.13880000000000001</v>
      </c>
      <c r="AN146" s="13">
        <v>-0.24049999999999999</v>
      </c>
      <c r="AO146" s="13">
        <v>-0.2777</v>
      </c>
      <c r="AP146" s="13">
        <v>-0.24049999999999999</v>
      </c>
      <c r="AQ146" s="13">
        <v>-0.13880000000000001</v>
      </c>
      <c r="AR146" s="13" t="s">
        <v>22</v>
      </c>
      <c r="AT146" s="31"/>
      <c r="AU146" s="107">
        <v>30</v>
      </c>
      <c r="AV146" s="107">
        <v>8.6599999999999996E-2</v>
      </c>
      <c r="AW146" s="107" t="s">
        <v>576</v>
      </c>
      <c r="AX146" s="107">
        <v>0.17319999999999999</v>
      </c>
      <c r="AY146" s="107" t="s">
        <v>576</v>
      </c>
      <c r="AZ146" s="107">
        <v>8.6599999999999996E-2</v>
      </c>
      <c r="BA146" s="107" t="s">
        <v>22</v>
      </c>
      <c r="BB146" s="13">
        <v>-8.6599999999999996E-2</v>
      </c>
      <c r="BC146" s="13" t="s">
        <v>577</v>
      </c>
      <c r="BD146" s="13">
        <v>-0.17319999999999999</v>
      </c>
      <c r="BE146" s="13" t="s">
        <v>577</v>
      </c>
      <c r="BF146" s="13">
        <v>-8.6599999999999996E-2</v>
      </c>
      <c r="BG146" s="13" t="s">
        <v>22</v>
      </c>
    </row>
    <row r="150" spans="1:59" ht="15.5" x14ac:dyDescent="0.35">
      <c r="A150" s="4"/>
      <c r="B150" s="71" t="s">
        <v>325</v>
      </c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3"/>
      <c r="O150" s="15"/>
      <c r="P150" s="74" t="s">
        <v>326</v>
      </c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6"/>
      <c r="AD150" s="27"/>
      <c r="AE150" s="71" t="s">
        <v>327</v>
      </c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3"/>
      <c r="AR150" s="4"/>
      <c r="AS150" s="15"/>
      <c r="AT150" s="77" t="s">
        <v>328</v>
      </c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9"/>
    </row>
    <row r="151" spans="1:59" ht="15.5" x14ac:dyDescent="0.35">
      <c r="A151" s="4"/>
      <c r="B151" s="32" t="s">
        <v>15</v>
      </c>
      <c r="C151" s="32" t="s">
        <v>16</v>
      </c>
      <c r="D151" s="32" t="s">
        <v>17</v>
      </c>
      <c r="E151" s="32" t="s">
        <v>18</v>
      </c>
      <c r="F151" s="32" t="s">
        <v>19</v>
      </c>
      <c r="G151" s="32" t="s">
        <v>20</v>
      </c>
      <c r="H151" s="32" t="s">
        <v>21</v>
      </c>
      <c r="I151" s="32" t="s">
        <v>36</v>
      </c>
      <c r="J151" s="32" t="s">
        <v>37</v>
      </c>
      <c r="K151" s="32" t="s">
        <v>38</v>
      </c>
      <c r="L151" s="32" t="s">
        <v>39</v>
      </c>
      <c r="M151" s="32" t="s">
        <v>40</v>
      </c>
      <c r="N151" s="32" t="s">
        <v>41</v>
      </c>
      <c r="O151" s="15"/>
      <c r="P151" s="32" t="s">
        <v>15</v>
      </c>
      <c r="Q151" s="32" t="s">
        <v>16</v>
      </c>
      <c r="R151" s="32" t="s">
        <v>17</v>
      </c>
      <c r="S151" s="32" t="s">
        <v>18</v>
      </c>
      <c r="T151" s="32" t="s">
        <v>19</v>
      </c>
      <c r="U151" s="32" t="s">
        <v>20</v>
      </c>
      <c r="V151" s="32" t="s">
        <v>21</v>
      </c>
      <c r="W151" s="32" t="s">
        <v>36</v>
      </c>
      <c r="X151" s="32" t="s">
        <v>37</v>
      </c>
      <c r="Y151" s="32" t="s">
        <v>38</v>
      </c>
      <c r="Z151" s="32" t="s">
        <v>39</v>
      </c>
      <c r="AA151" s="32" t="s">
        <v>40</v>
      </c>
      <c r="AB151" s="32" t="s">
        <v>41</v>
      </c>
      <c r="AD151" s="27"/>
      <c r="AE151" s="32" t="s">
        <v>15</v>
      </c>
      <c r="AF151" s="32" t="s">
        <v>16</v>
      </c>
      <c r="AG151" s="32" t="s">
        <v>17</v>
      </c>
      <c r="AH151" s="32" t="s">
        <v>18</v>
      </c>
      <c r="AI151" s="32" t="s">
        <v>19</v>
      </c>
      <c r="AJ151" s="32" t="s">
        <v>20</v>
      </c>
      <c r="AK151" s="32" t="s">
        <v>21</v>
      </c>
      <c r="AL151" s="32" t="s">
        <v>36</v>
      </c>
      <c r="AM151" s="32" t="s">
        <v>37</v>
      </c>
      <c r="AN151" s="32" t="s">
        <v>38</v>
      </c>
      <c r="AO151" s="32" t="s">
        <v>39</v>
      </c>
      <c r="AP151" s="32" t="s">
        <v>40</v>
      </c>
      <c r="AQ151" s="32" t="s">
        <v>41</v>
      </c>
      <c r="AR151" s="15"/>
      <c r="AS151" s="15"/>
      <c r="AT151" s="32" t="s">
        <v>15</v>
      </c>
      <c r="AU151" s="32" t="s">
        <v>16</v>
      </c>
      <c r="AV151" s="32" t="s">
        <v>17</v>
      </c>
      <c r="AW151" s="32" t="s">
        <v>18</v>
      </c>
      <c r="AX151" s="32" t="s">
        <v>19</v>
      </c>
      <c r="AY151" s="32" t="s">
        <v>20</v>
      </c>
      <c r="AZ151" s="32" t="s">
        <v>21</v>
      </c>
      <c r="BA151" s="32" t="s">
        <v>36</v>
      </c>
      <c r="BB151" s="32" t="s">
        <v>37</v>
      </c>
      <c r="BC151" s="32" t="s">
        <v>38</v>
      </c>
      <c r="BD151" s="32" t="s">
        <v>39</v>
      </c>
      <c r="BE151" s="32" t="s">
        <v>40</v>
      </c>
      <c r="BF151" s="32" t="s">
        <v>41</v>
      </c>
    </row>
    <row r="152" spans="1:59" ht="15.5" x14ac:dyDescent="0.35">
      <c r="A152" s="34"/>
      <c r="B152" s="33">
        <v>0</v>
      </c>
      <c r="C152" s="33" t="s">
        <v>329</v>
      </c>
      <c r="D152" s="33">
        <v>-18104.568500000001</v>
      </c>
      <c r="E152" s="33">
        <v>-10452.6775</v>
      </c>
      <c r="F152" s="33" t="s">
        <v>22</v>
      </c>
      <c r="G152" s="33">
        <v>10452.6775</v>
      </c>
      <c r="H152" s="33">
        <v>18104.568500000001</v>
      </c>
      <c r="I152" s="33" t="s">
        <v>330</v>
      </c>
      <c r="J152" s="33">
        <v>18104.568500000001</v>
      </c>
      <c r="K152" s="33">
        <v>10452.6775</v>
      </c>
      <c r="L152" s="33" t="s">
        <v>22</v>
      </c>
      <c r="M152" s="33">
        <v>-10452.6775</v>
      </c>
      <c r="N152" s="33">
        <v>-18104.568500000001</v>
      </c>
      <c r="O152" s="4"/>
      <c r="P152" s="33">
        <v>0</v>
      </c>
      <c r="Q152" s="33" t="s">
        <v>331</v>
      </c>
      <c r="R152" s="33">
        <v>-3203.5241000000001</v>
      </c>
      <c r="S152" s="33">
        <v>-1849.5554999999999</v>
      </c>
      <c r="T152" s="33" t="s">
        <v>22</v>
      </c>
      <c r="U152" s="33" t="s">
        <v>332</v>
      </c>
      <c r="V152" s="33" t="s">
        <v>333</v>
      </c>
      <c r="W152" s="33" t="s">
        <v>334</v>
      </c>
      <c r="X152" s="33" t="s">
        <v>333</v>
      </c>
      <c r="Y152" s="33" t="s">
        <v>332</v>
      </c>
      <c r="Z152" s="33" t="s">
        <v>22</v>
      </c>
      <c r="AA152" s="33">
        <v>-1849.5554999999999</v>
      </c>
      <c r="AB152" s="33">
        <v>-3203.5241000000001</v>
      </c>
      <c r="AE152" s="33" t="s">
        <v>16</v>
      </c>
      <c r="AF152" s="33" t="s">
        <v>345</v>
      </c>
      <c r="AG152" s="33">
        <v>-2559.9434000000001</v>
      </c>
      <c r="AH152" s="33" t="s">
        <v>346</v>
      </c>
      <c r="AI152" s="33" t="s">
        <v>22</v>
      </c>
      <c r="AJ152" s="33" t="s">
        <v>347</v>
      </c>
      <c r="AK152" s="33">
        <v>2559.9434000000001</v>
      </c>
      <c r="AL152" s="33" t="s">
        <v>348</v>
      </c>
      <c r="AM152" s="33">
        <v>2559.9434000000001</v>
      </c>
      <c r="AN152" s="33" t="s">
        <v>349</v>
      </c>
      <c r="AO152" s="33" t="s">
        <v>22</v>
      </c>
      <c r="AP152" s="33" t="s">
        <v>346</v>
      </c>
      <c r="AQ152" s="33">
        <v>-2559.9434000000001</v>
      </c>
      <c r="AR152" s="15"/>
      <c r="AS152" s="4"/>
      <c r="AT152" s="33" t="s">
        <v>16</v>
      </c>
      <c r="AU152" s="33" t="s">
        <v>350</v>
      </c>
      <c r="AV152" s="33">
        <v>-493.56950000000001</v>
      </c>
      <c r="AW152" s="33">
        <v>-284.96249999999998</v>
      </c>
      <c r="AX152" s="33" t="s">
        <v>22</v>
      </c>
      <c r="AY152" s="33">
        <v>284.96249999999998</v>
      </c>
      <c r="AZ152" s="33">
        <v>493.56950000000001</v>
      </c>
      <c r="BA152" s="33" t="s">
        <v>351</v>
      </c>
      <c r="BB152" s="33">
        <v>493.56950000000001</v>
      </c>
      <c r="BC152" s="33">
        <v>284.96249999999998</v>
      </c>
      <c r="BD152" s="33" t="s">
        <v>22</v>
      </c>
      <c r="BE152" s="33">
        <v>-284.96249999999998</v>
      </c>
      <c r="BF152" s="33">
        <v>-493.56950000000001</v>
      </c>
    </row>
    <row r="153" spans="1:59" ht="15.5" x14ac:dyDescent="0.35">
      <c r="A153" s="34"/>
      <c r="B153" s="33" t="s">
        <v>42</v>
      </c>
      <c r="C153" s="33" t="s">
        <v>335</v>
      </c>
      <c r="D153" s="33">
        <v>-17919.386699999999</v>
      </c>
      <c r="E153" s="33">
        <v>-10135.117200000001</v>
      </c>
      <c r="F153" s="33">
        <v>364.84879999999998</v>
      </c>
      <c r="G153" s="33">
        <v>10767.0538</v>
      </c>
      <c r="H153" s="33">
        <v>18284.235499999999</v>
      </c>
      <c r="I153" s="33" t="s">
        <v>336</v>
      </c>
      <c r="J153" s="33">
        <v>17919.386699999999</v>
      </c>
      <c r="K153" s="33">
        <v>10135.117200000001</v>
      </c>
      <c r="L153" s="33">
        <v>-364.84879999999998</v>
      </c>
      <c r="M153" s="33">
        <v>-10767.0538</v>
      </c>
      <c r="N153" s="33">
        <v>-18284.235499999999</v>
      </c>
      <c r="O153" s="4"/>
      <c r="P153" s="33">
        <v>1</v>
      </c>
      <c r="Q153" s="33">
        <v>-3698.5475999999999</v>
      </c>
      <c r="R153" s="33" t="s">
        <v>337</v>
      </c>
      <c r="S153" s="33">
        <v>-1793.3646000000001</v>
      </c>
      <c r="T153" s="33" t="s">
        <v>338</v>
      </c>
      <c r="U153" s="33" t="s">
        <v>339</v>
      </c>
      <c r="V153" s="33" t="s">
        <v>340</v>
      </c>
      <c r="W153" s="33" t="s">
        <v>341</v>
      </c>
      <c r="X153" s="33" t="s">
        <v>342</v>
      </c>
      <c r="Y153" s="33" t="s">
        <v>343</v>
      </c>
      <c r="Z153" s="33">
        <v>-64.558400000000006</v>
      </c>
      <c r="AA153" s="33" t="s">
        <v>344</v>
      </c>
      <c r="AB153" s="33">
        <v>-3235.3154</v>
      </c>
      <c r="AE153" s="33" t="s">
        <v>42</v>
      </c>
      <c r="AF153" s="33">
        <v>-2955.5178000000001</v>
      </c>
      <c r="AG153" s="33">
        <v>-2533.7591000000002</v>
      </c>
      <c r="AH153" s="33">
        <v>-1433.0817</v>
      </c>
      <c r="AI153" s="33">
        <v>51.588799999999999</v>
      </c>
      <c r="AJ153" s="33">
        <v>1522.4360999999999</v>
      </c>
      <c r="AK153" s="33">
        <v>2585.3479000000002</v>
      </c>
      <c r="AL153" s="33">
        <v>2955.5178000000001</v>
      </c>
      <c r="AM153" s="33">
        <v>2533.7591000000002</v>
      </c>
      <c r="AN153" s="33">
        <v>1433.0817</v>
      </c>
      <c r="AO153" s="33">
        <v>-51.588799999999999</v>
      </c>
      <c r="AP153" s="33">
        <v>-1522.4360999999999</v>
      </c>
      <c r="AQ153" s="33">
        <v>-2585.3479000000002</v>
      </c>
      <c r="AR153" s="4"/>
      <c r="AS153" s="4"/>
      <c r="AT153" s="33" t="s">
        <v>42</v>
      </c>
      <c r="AU153" s="33">
        <v>-569.83820000000003</v>
      </c>
      <c r="AV153" s="33">
        <v>-488.52109999999999</v>
      </c>
      <c r="AW153" s="33">
        <v>-276.30509999999998</v>
      </c>
      <c r="AX153" s="33">
        <v>9.9466000000000001</v>
      </c>
      <c r="AY153" s="33">
        <v>293.53309999999999</v>
      </c>
      <c r="AZ153" s="33">
        <v>498.4676</v>
      </c>
      <c r="BA153" s="33">
        <v>569.83820000000003</v>
      </c>
      <c r="BB153" s="33">
        <v>488.52109999999999</v>
      </c>
      <c r="BC153" s="33">
        <v>276.30509999999998</v>
      </c>
      <c r="BD153" s="33">
        <v>-9.9466000000000001</v>
      </c>
      <c r="BE153" s="33">
        <v>-293.53309999999999</v>
      </c>
      <c r="BF153" s="33">
        <v>-498.4676</v>
      </c>
    </row>
    <row r="154" spans="1:59" ht="15.5" x14ac:dyDescent="0.35">
      <c r="A154" s="34"/>
      <c r="B154" s="33" t="s">
        <v>43</v>
      </c>
      <c r="C154" s="33" t="s">
        <v>352</v>
      </c>
      <c r="D154" s="33">
        <v>-17728.746500000001</v>
      </c>
      <c r="E154" s="33">
        <v>-9814.4696999999996</v>
      </c>
      <c r="F154" s="33">
        <v>729.58640000000003</v>
      </c>
      <c r="G154" s="33">
        <v>11078.150299999999</v>
      </c>
      <c r="H154" s="33">
        <v>18458.332900000001</v>
      </c>
      <c r="I154" s="33" t="s">
        <v>353</v>
      </c>
      <c r="J154" s="33">
        <v>17728.746500000001</v>
      </c>
      <c r="K154" s="33">
        <v>9814.4696999999996</v>
      </c>
      <c r="L154" s="33">
        <v>-729.58640000000003</v>
      </c>
      <c r="M154" s="33">
        <v>-11078.150299999999</v>
      </c>
      <c r="N154" s="33">
        <v>-18458.332900000001</v>
      </c>
      <c r="O154" s="4"/>
      <c r="P154" s="33">
        <v>2</v>
      </c>
      <c r="Q154" s="33">
        <v>-3696.8575999999998</v>
      </c>
      <c r="R154" s="33">
        <v>-3137.0239999999999</v>
      </c>
      <c r="S154" s="33">
        <v>-1736.6274000000001</v>
      </c>
      <c r="T154" s="33" t="s">
        <v>354</v>
      </c>
      <c r="U154" s="33" t="s">
        <v>355</v>
      </c>
      <c r="V154" s="33" t="s">
        <v>356</v>
      </c>
      <c r="W154" s="33" t="s">
        <v>357</v>
      </c>
      <c r="X154" s="33" t="s">
        <v>358</v>
      </c>
      <c r="Y154" s="33" t="s">
        <v>359</v>
      </c>
      <c r="Z154" s="33">
        <v>-129.09710000000001</v>
      </c>
      <c r="AA154" s="33">
        <v>-1960.2302</v>
      </c>
      <c r="AB154" s="33">
        <v>-3266.1212</v>
      </c>
      <c r="AE154" s="33" t="s">
        <v>43</v>
      </c>
      <c r="AF154" s="33">
        <v>-2954.1673000000001</v>
      </c>
      <c r="AG154" s="33" t="s">
        <v>369</v>
      </c>
      <c r="AH154" s="33">
        <v>-1387.7429</v>
      </c>
      <c r="AI154" s="33">
        <v>103.1618</v>
      </c>
      <c r="AJ154" s="33">
        <v>1566.4423999999999</v>
      </c>
      <c r="AK154" s="33">
        <v>2609.9648000000002</v>
      </c>
      <c r="AL154" s="33">
        <v>2954.1673000000001</v>
      </c>
      <c r="AM154" s="33" t="s">
        <v>370</v>
      </c>
      <c r="AN154" s="33">
        <v>1387.7429</v>
      </c>
      <c r="AO154" s="33">
        <v>-103.1618</v>
      </c>
      <c r="AP154" s="33">
        <v>-1566.4423999999999</v>
      </c>
      <c r="AQ154" s="33">
        <v>-2609.9648000000002</v>
      </c>
      <c r="AR154" s="4"/>
      <c r="AS154" s="4"/>
      <c r="AT154" s="33" t="s">
        <v>43</v>
      </c>
      <c r="AU154" s="33">
        <v>-569.57780000000002</v>
      </c>
      <c r="AV154" s="33">
        <v>-483.32380000000001</v>
      </c>
      <c r="AW154" s="33">
        <v>-267.56360000000001</v>
      </c>
      <c r="AX154" s="33">
        <v>19.8901</v>
      </c>
      <c r="AY154" s="33">
        <v>302.01420000000002</v>
      </c>
      <c r="AZ154" s="33">
        <v>503.21390000000002</v>
      </c>
      <c r="BA154" s="33">
        <v>569.57780000000002</v>
      </c>
      <c r="BB154" s="33">
        <v>483.32380000000001</v>
      </c>
      <c r="BC154" s="33">
        <v>267.56360000000001</v>
      </c>
      <c r="BD154" s="33">
        <v>-19.8901</v>
      </c>
      <c r="BE154" s="33">
        <v>-302.01420000000002</v>
      </c>
      <c r="BF154" s="33">
        <v>-503.21390000000002</v>
      </c>
    </row>
    <row r="155" spans="1:59" ht="15.5" x14ac:dyDescent="0.35">
      <c r="A155" s="34"/>
      <c r="B155" s="33" t="s">
        <v>44</v>
      </c>
      <c r="C155" s="33">
        <v>-20876.704900000001</v>
      </c>
      <c r="D155" s="33" t="s">
        <v>360</v>
      </c>
      <c r="E155" s="33">
        <v>-9490.8325999999997</v>
      </c>
      <c r="F155" s="33">
        <v>1094.1016999999999</v>
      </c>
      <c r="G155" s="33">
        <v>11385.8724</v>
      </c>
      <c r="H155" s="33">
        <v>18626.807700000001</v>
      </c>
      <c r="I155" s="33">
        <v>20876.704900000001</v>
      </c>
      <c r="J155" s="33" t="s">
        <v>361</v>
      </c>
      <c r="K155" s="33">
        <v>9490.8325999999997</v>
      </c>
      <c r="L155" s="33">
        <v>-1094.1016999999999</v>
      </c>
      <c r="M155" s="33">
        <v>-11385.8724</v>
      </c>
      <c r="N155" s="33">
        <v>-18626.807700000001</v>
      </c>
      <c r="O155" s="4"/>
      <c r="P155" s="33">
        <v>3</v>
      </c>
      <c r="Q155" s="33">
        <v>-3694.0414999999998</v>
      </c>
      <c r="R155" s="33">
        <v>-3102.3355000000001</v>
      </c>
      <c r="S155" s="33">
        <v>-1679.3613</v>
      </c>
      <c r="T155" s="33" t="s">
        <v>362</v>
      </c>
      <c r="U155" s="33" t="s">
        <v>363</v>
      </c>
      <c r="V155" s="33" t="s">
        <v>364</v>
      </c>
      <c r="W155" s="33" t="s">
        <v>365</v>
      </c>
      <c r="X155" s="33" t="s">
        <v>366</v>
      </c>
      <c r="Y155" s="33" t="s">
        <v>367</v>
      </c>
      <c r="Z155" s="33">
        <v>-1935.9649999999999</v>
      </c>
      <c r="AA155" s="33">
        <v>-2014.6802</v>
      </c>
      <c r="AB155" s="33" t="s">
        <v>368</v>
      </c>
      <c r="AE155" s="33" t="s">
        <v>44</v>
      </c>
      <c r="AF155" s="33">
        <v>-2951.9169000000002</v>
      </c>
      <c r="AG155" s="33">
        <v>-2479.0834</v>
      </c>
      <c r="AH155" s="33">
        <v>-1341.9813999999999</v>
      </c>
      <c r="AI155" s="33">
        <v>154.70339999999999</v>
      </c>
      <c r="AJ155" s="33">
        <v>1609.9365</v>
      </c>
      <c r="AK155" s="33">
        <v>2633.7867999999999</v>
      </c>
      <c r="AL155" s="33">
        <v>2951.9169000000002</v>
      </c>
      <c r="AM155" s="33">
        <v>2479.0834</v>
      </c>
      <c r="AN155" s="33">
        <v>1341.9813999999999</v>
      </c>
      <c r="AO155" s="33">
        <v>-154.70339999999999</v>
      </c>
      <c r="AP155" s="33">
        <v>-1609.9365</v>
      </c>
      <c r="AQ155" s="33">
        <v>-2633.7867999999999</v>
      </c>
      <c r="AR155" s="4"/>
      <c r="AS155" s="4"/>
      <c r="AT155" s="33" t="s">
        <v>44</v>
      </c>
      <c r="AU155" s="33">
        <v>-569.14390000000003</v>
      </c>
      <c r="AV155" s="33">
        <v>-477.97930000000002</v>
      </c>
      <c r="AW155" s="33">
        <v>-258.7405</v>
      </c>
      <c r="AX155" s="33">
        <v>29.8276</v>
      </c>
      <c r="AY155" s="33">
        <v>310.40339999999998</v>
      </c>
      <c r="AZ155" s="33">
        <v>507.80689999999998</v>
      </c>
      <c r="BA155" s="33">
        <v>569.14390000000003</v>
      </c>
      <c r="BB155" s="33">
        <v>477.97930000000002</v>
      </c>
      <c r="BC155" s="33">
        <v>258.7405</v>
      </c>
      <c r="BD155" s="33">
        <v>-29.8276</v>
      </c>
      <c r="BE155" s="33">
        <v>-310.40339999999998</v>
      </c>
      <c r="BF155" s="33">
        <v>-507.80689999999998</v>
      </c>
    </row>
    <row r="156" spans="1:59" ht="15.5" x14ac:dyDescent="0.35">
      <c r="A156" s="34"/>
      <c r="B156" s="33" t="s">
        <v>45</v>
      </c>
      <c r="C156" s="33">
        <v>-20854.4306</v>
      </c>
      <c r="D156" s="33">
        <v>-17331.324799999999</v>
      </c>
      <c r="E156" s="33">
        <v>-9164.3044000000009</v>
      </c>
      <c r="F156" s="33">
        <v>1458.2837999999999</v>
      </c>
      <c r="G156" s="33">
        <v>11690.126200000001</v>
      </c>
      <c r="H156" s="33">
        <v>18789.608700000001</v>
      </c>
      <c r="I156" s="33">
        <v>20854.4306</v>
      </c>
      <c r="J156" s="33">
        <v>17331.324799999999</v>
      </c>
      <c r="K156" s="33">
        <v>9164.3044000000009</v>
      </c>
      <c r="L156" s="33">
        <v>-1458.2837999999999</v>
      </c>
      <c r="M156" s="33">
        <v>-11690.126200000001</v>
      </c>
      <c r="N156" s="33">
        <v>-18789.608700000001</v>
      </c>
      <c r="O156" s="4"/>
      <c r="P156" s="33">
        <v>4</v>
      </c>
      <c r="Q156" s="33">
        <v>-3690.1001999999999</v>
      </c>
      <c r="R156" s="33" t="s">
        <v>371</v>
      </c>
      <c r="S156" s="33">
        <v>-1621.5835</v>
      </c>
      <c r="T156" s="33" t="s">
        <v>372</v>
      </c>
      <c r="U156" s="33" t="s">
        <v>373</v>
      </c>
      <c r="V156" s="33" t="s">
        <v>374</v>
      </c>
      <c r="W156" s="33" t="s">
        <v>375</v>
      </c>
      <c r="X156" s="33" t="s">
        <v>376</v>
      </c>
      <c r="Y156" s="33" t="s">
        <v>377</v>
      </c>
      <c r="Z156" s="33">
        <v>-258.0369</v>
      </c>
      <c r="AA156" s="33">
        <v>-2068.5165999999999</v>
      </c>
      <c r="AB156" s="33">
        <v>-3324.7388999999998</v>
      </c>
      <c r="AE156" s="33" t="s">
        <v>45</v>
      </c>
      <c r="AF156" s="33">
        <v>-2948.7674000000002</v>
      </c>
      <c r="AG156" s="33">
        <v>-2450.6084999999998</v>
      </c>
      <c r="AH156" s="33">
        <v>-1295.8110999999999</v>
      </c>
      <c r="AI156" s="33">
        <v>206.1979</v>
      </c>
      <c r="AJ156" s="33">
        <v>1652.9563000000001</v>
      </c>
      <c r="AK156" s="33">
        <v>2656.8063999999999</v>
      </c>
      <c r="AL156" s="33">
        <v>2948.7674000000002</v>
      </c>
      <c r="AM156" s="33">
        <v>2450.6084999999998</v>
      </c>
      <c r="AN156" s="33">
        <v>1295.8110999999999</v>
      </c>
      <c r="AO156" s="33">
        <v>-206.1979</v>
      </c>
      <c r="AP156" s="33">
        <v>-1652.9563000000001</v>
      </c>
      <c r="AQ156" s="33">
        <v>-2656.8063999999999</v>
      </c>
      <c r="AR156" s="4"/>
      <c r="AS156" s="4"/>
      <c r="AT156" s="33" t="s">
        <v>45</v>
      </c>
      <c r="AU156" s="33">
        <v>-568.5367</v>
      </c>
      <c r="AV156" s="33">
        <v>-472.48919999999998</v>
      </c>
      <c r="AW156" s="33">
        <v>-249.83869999999999</v>
      </c>
      <c r="AX156" s="33" t="s">
        <v>388</v>
      </c>
      <c r="AY156" s="33">
        <v>318.69799999999998</v>
      </c>
      <c r="AZ156" s="33">
        <v>512.24519999999995</v>
      </c>
      <c r="BA156" s="33">
        <v>568.5367</v>
      </c>
      <c r="BB156" s="33">
        <v>472.48919999999998</v>
      </c>
      <c r="BC156" s="33">
        <v>249.83869999999999</v>
      </c>
      <c r="BD156" s="33" t="s">
        <v>389</v>
      </c>
      <c r="BE156" s="33">
        <v>-318.69799999999998</v>
      </c>
      <c r="BF156" s="33">
        <v>-512.24519999999995</v>
      </c>
    </row>
    <row r="157" spans="1:59" ht="15.5" x14ac:dyDescent="0.35">
      <c r="A157" s="34"/>
      <c r="B157" s="33" t="s">
        <v>47</v>
      </c>
      <c r="C157" s="33">
        <v>-20825.803800000002</v>
      </c>
      <c r="D157" s="33">
        <v>-17124.6643</v>
      </c>
      <c r="E157" s="33">
        <v>-8834.9848000000002</v>
      </c>
      <c r="F157" s="33">
        <v>1822.0217</v>
      </c>
      <c r="G157" s="33" t="s">
        <v>378</v>
      </c>
      <c r="H157" s="33" t="s">
        <v>379</v>
      </c>
      <c r="I157" s="33">
        <v>20825.803800000002</v>
      </c>
      <c r="J157" s="33">
        <v>17124.6643</v>
      </c>
      <c r="K157" s="33">
        <v>8834.9848000000002</v>
      </c>
      <c r="L157" s="33">
        <v>-1822.0217</v>
      </c>
      <c r="M157" s="33" t="s">
        <v>380</v>
      </c>
      <c r="N157" s="33" t="s">
        <v>381</v>
      </c>
      <c r="O157" s="4"/>
      <c r="P157" s="33">
        <v>5</v>
      </c>
      <c r="Q157" s="33">
        <v>-3685.0347999999999</v>
      </c>
      <c r="R157" s="33">
        <v>-3030.1343000000002</v>
      </c>
      <c r="S157" s="33">
        <v>-1563.3118999999999</v>
      </c>
      <c r="T157" s="33" t="s">
        <v>382</v>
      </c>
      <c r="U157" s="33" t="s">
        <v>383</v>
      </c>
      <c r="V157" s="33" t="s">
        <v>384</v>
      </c>
      <c r="W157" s="33" t="s">
        <v>385</v>
      </c>
      <c r="X157" s="33" t="s">
        <v>386</v>
      </c>
      <c r="Y157" s="33" t="s">
        <v>387</v>
      </c>
      <c r="Z157" s="33">
        <v>-322.39879999999999</v>
      </c>
      <c r="AA157" s="33">
        <v>-2121.7229000000002</v>
      </c>
      <c r="AB157" s="33">
        <v>-3352.5331000000001</v>
      </c>
      <c r="AE157" s="33" t="s">
        <v>47</v>
      </c>
      <c r="AF157" s="33">
        <v>-2944.7195999999999</v>
      </c>
      <c r="AG157" s="33">
        <v>-2421.3872000000001</v>
      </c>
      <c r="AH157" s="33">
        <v>-1249.2461000000001</v>
      </c>
      <c r="AI157" s="33">
        <v>257.62959999999998</v>
      </c>
      <c r="AJ157" s="33">
        <v>1695.4736</v>
      </c>
      <c r="AK157" s="33">
        <v>2679.0167999999999</v>
      </c>
      <c r="AL157" s="33">
        <v>2944.7195999999999</v>
      </c>
      <c r="AM157" s="33">
        <v>2421.3872000000001</v>
      </c>
      <c r="AN157" s="33">
        <v>1249.2461000000001</v>
      </c>
      <c r="AO157" s="33">
        <v>-257.62959999999998</v>
      </c>
      <c r="AP157" s="33">
        <v>-1695.4736</v>
      </c>
      <c r="AQ157" s="33">
        <v>-2679.0167999999999</v>
      </c>
      <c r="AR157" s="4"/>
      <c r="AS157" s="4"/>
      <c r="AT157" s="33" t="s">
        <v>47</v>
      </c>
      <c r="AU157" s="33">
        <v>-567.75630000000001</v>
      </c>
      <c r="AV157" s="33">
        <v>-466.85520000000002</v>
      </c>
      <c r="AW157" s="33">
        <v>-240.86070000000001</v>
      </c>
      <c r="AX157" s="33">
        <v>49.672199999999997</v>
      </c>
      <c r="AY157" s="33">
        <v>326.8956</v>
      </c>
      <c r="AZ157" s="33">
        <v>516.52750000000003</v>
      </c>
      <c r="BA157" s="33">
        <v>567.75630000000001</v>
      </c>
      <c r="BB157" s="33">
        <v>466.85520000000002</v>
      </c>
      <c r="BC157" s="33">
        <v>240.86070000000001</v>
      </c>
      <c r="BD157" s="33">
        <v>-49.672199999999997</v>
      </c>
      <c r="BE157" s="33">
        <v>-326.8956</v>
      </c>
      <c r="BF157" s="33">
        <v>-516.52750000000003</v>
      </c>
    </row>
    <row r="158" spans="1:59" ht="15.5" x14ac:dyDescent="0.35">
      <c r="A158" s="34"/>
      <c r="B158" s="33" t="s">
        <v>50</v>
      </c>
      <c r="C158" s="33">
        <v>-20790.833299999998</v>
      </c>
      <c r="D158" s="33">
        <v>-16912.787499999999</v>
      </c>
      <c r="E158" s="33">
        <v>-8502.9739000000009</v>
      </c>
      <c r="F158" s="33">
        <v>2185.2046</v>
      </c>
      <c r="G158" s="33">
        <v>12287.859399999999</v>
      </c>
      <c r="H158" s="33">
        <v>19097.992099999999</v>
      </c>
      <c r="I158" s="33">
        <v>20790.833299999998</v>
      </c>
      <c r="J158" s="33">
        <v>16912.787499999999</v>
      </c>
      <c r="K158" s="33">
        <v>8502.9739000000009</v>
      </c>
      <c r="L158" s="33">
        <v>-2185.2046</v>
      </c>
      <c r="M158" s="33">
        <v>-12287.859399999999</v>
      </c>
      <c r="N158" s="33">
        <v>-19097.992099999999</v>
      </c>
      <c r="O158" s="4"/>
      <c r="P158" s="33">
        <v>6</v>
      </c>
      <c r="Q158" s="33">
        <v>-3678.8469</v>
      </c>
      <c r="R158" s="33">
        <v>-2992.6437000000001</v>
      </c>
      <c r="S158" s="33" t="s">
        <v>390</v>
      </c>
      <c r="T158" s="33" t="s">
        <v>391</v>
      </c>
      <c r="U158" s="33" t="s">
        <v>392</v>
      </c>
      <c r="V158" s="33" t="s">
        <v>393</v>
      </c>
      <c r="W158" s="33" t="s">
        <v>394</v>
      </c>
      <c r="X158" s="33" t="s">
        <v>395</v>
      </c>
      <c r="Y158" s="33" t="s">
        <v>396</v>
      </c>
      <c r="Z158" s="33">
        <v>-386.66239999999999</v>
      </c>
      <c r="AA158" s="33">
        <v>-2174.2829000000002</v>
      </c>
      <c r="AB158" s="33">
        <v>-3379.3060999999998</v>
      </c>
      <c r="AE158" s="33" t="s">
        <v>50</v>
      </c>
      <c r="AF158" s="33">
        <v>-2939.7748999999999</v>
      </c>
      <c r="AG158" s="33">
        <v>-2391.4283</v>
      </c>
      <c r="AH158" s="33">
        <v>-1202.3005000000001</v>
      </c>
      <c r="AI158" s="33">
        <v>308.9828</v>
      </c>
      <c r="AJ158" s="33">
        <v>1737.4744000000001</v>
      </c>
      <c r="AK158" s="33">
        <v>2700.4110999999998</v>
      </c>
      <c r="AL158" s="33">
        <v>2939.7748999999999</v>
      </c>
      <c r="AM158" s="33">
        <v>2391.4283</v>
      </c>
      <c r="AN158" s="33">
        <v>1202.3005000000001</v>
      </c>
      <c r="AO158" s="33">
        <v>-308.9828</v>
      </c>
      <c r="AP158" s="33">
        <v>-1737.4744000000001</v>
      </c>
      <c r="AQ158" s="33">
        <v>-2700.4110999999998</v>
      </c>
      <c r="AR158" s="4"/>
      <c r="AS158" s="4"/>
      <c r="AT158" s="33" t="s">
        <v>50</v>
      </c>
      <c r="AU158" s="33">
        <v>-566.80290000000002</v>
      </c>
      <c r="AV158" s="33" t="s">
        <v>406</v>
      </c>
      <c r="AW158" s="33">
        <v>-231.80940000000001</v>
      </c>
      <c r="AX158" s="33">
        <v>59.573399999999999</v>
      </c>
      <c r="AY158" s="33">
        <v>334.99349999999998</v>
      </c>
      <c r="AZ158" s="33">
        <v>520.65239999999994</v>
      </c>
      <c r="BA158" s="33">
        <v>566.80290000000002</v>
      </c>
      <c r="BB158" s="33" t="s">
        <v>407</v>
      </c>
      <c r="BC158" s="33">
        <v>231.80940000000001</v>
      </c>
      <c r="BD158" s="33">
        <v>-59.573399999999999</v>
      </c>
      <c r="BE158" s="33">
        <v>-334.99349999999998</v>
      </c>
      <c r="BF158" s="33">
        <v>-520.65239999999994</v>
      </c>
    </row>
    <row r="159" spans="1:59" ht="15.5" x14ac:dyDescent="0.35">
      <c r="A159" s="34"/>
      <c r="B159" s="33" t="s">
        <v>53</v>
      </c>
      <c r="C159" s="33">
        <v>-20749.529699999999</v>
      </c>
      <c r="D159" s="33">
        <v>-16695.758900000001</v>
      </c>
      <c r="E159" s="33" t="s">
        <v>397</v>
      </c>
      <c r="F159" s="33">
        <v>2547.7219</v>
      </c>
      <c r="G159" s="33">
        <v>12581.1567</v>
      </c>
      <c r="H159" s="33">
        <v>19243.4807</v>
      </c>
      <c r="I159" s="33">
        <v>20749.529699999999</v>
      </c>
      <c r="J159" s="33">
        <v>16695.758900000001</v>
      </c>
      <c r="K159" s="33" t="s">
        <v>398</v>
      </c>
      <c r="L159" s="33">
        <v>-2547.7219</v>
      </c>
      <c r="M159" s="33">
        <v>-12581.1567</v>
      </c>
      <c r="N159" s="33">
        <v>-19243.4807</v>
      </c>
      <c r="O159" s="4"/>
      <c r="P159" s="33">
        <v>7</v>
      </c>
      <c r="Q159" s="33">
        <v>-3671.5383999999999</v>
      </c>
      <c r="R159" s="33">
        <v>-2954.2413999999999</v>
      </c>
      <c r="S159" s="33">
        <v>-1445.3578</v>
      </c>
      <c r="T159" s="33" t="s">
        <v>399</v>
      </c>
      <c r="U159" s="33" t="s">
        <v>400</v>
      </c>
      <c r="V159" s="33" t="s">
        <v>401</v>
      </c>
      <c r="W159" s="33" t="s">
        <v>402</v>
      </c>
      <c r="X159" s="33" t="s">
        <v>403</v>
      </c>
      <c r="Y159" s="33" t="s">
        <v>404</v>
      </c>
      <c r="Z159" s="33" t="s">
        <v>405</v>
      </c>
      <c r="AA159" s="33">
        <v>-2226.1806000000001</v>
      </c>
      <c r="AB159" s="33">
        <v>-3405.0495999999998</v>
      </c>
      <c r="AE159" s="33" t="s">
        <v>53</v>
      </c>
      <c r="AF159" s="33">
        <v>-2933.9346999999998</v>
      </c>
      <c r="AG159" s="33" t="s">
        <v>415</v>
      </c>
      <c r="AH159" s="33">
        <v>-1154.9887000000001</v>
      </c>
      <c r="AI159" s="33">
        <v>360.24189999999999</v>
      </c>
      <c r="AJ159" s="33" t="s">
        <v>416</v>
      </c>
      <c r="AK159" s="33">
        <v>2720.9829</v>
      </c>
      <c r="AL159" s="33">
        <v>2933.9346999999998</v>
      </c>
      <c r="AM159" s="33" t="s">
        <v>417</v>
      </c>
      <c r="AN159" s="33">
        <v>1154.9887000000001</v>
      </c>
      <c r="AO159" s="33">
        <v>-360.24189999999999</v>
      </c>
      <c r="AP159" s="33" t="s">
        <v>418</v>
      </c>
      <c r="AQ159" s="33">
        <v>-2720.9829</v>
      </c>
      <c r="AR159" s="4"/>
      <c r="AS159" s="4"/>
      <c r="AT159" s="33" t="s">
        <v>53</v>
      </c>
      <c r="AU159" s="33">
        <v>-565.67690000000005</v>
      </c>
      <c r="AV159" s="33">
        <v>-455.16230000000002</v>
      </c>
      <c r="AW159" s="33">
        <v>-222.6874</v>
      </c>
      <c r="AX159" s="33">
        <v>69.456400000000002</v>
      </c>
      <c r="AY159" s="33">
        <v>342.98939999999999</v>
      </c>
      <c r="AZ159" s="33">
        <v>524.61869999999999</v>
      </c>
      <c r="BA159" s="33">
        <v>565.67690000000005</v>
      </c>
      <c r="BB159" s="33">
        <v>455.16230000000002</v>
      </c>
      <c r="BC159" s="33">
        <v>222.6874</v>
      </c>
      <c r="BD159" s="33">
        <v>-69.456400000000002</v>
      </c>
      <c r="BE159" s="33">
        <v>-342.98939999999999</v>
      </c>
      <c r="BF159" s="33">
        <v>-524.61869999999999</v>
      </c>
    </row>
    <row r="160" spans="1:59" ht="15.5" x14ac:dyDescent="0.35">
      <c r="A160" s="34"/>
      <c r="B160" s="33" t="s">
        <v>56</v>
      </c>
      <c r="C160" s="33">
        <v>-20701.905500000001</v>
      </c>
      <c r="D160" s="33">
        <v>-16473.644499999999</v>
      </c>
      <c r="E160" s="33">
        <v>-7831.2838000000002</v>
      </c>
      <c r="F160" s="33">
        <v>2909.4630999999999</v>
      </c>
      <c r="G160" s="33">
        <v>12870.6217</v>
      </c>
      <c r="H160" s="33">
        <v>19383.107599999999</v>
      </c>
      <c r="I160" s="33">
        <v>20701.905500000001</v>
      </c>
      <c r="J160" s="33">
        <v>16473.644499999999</v>
      </c>
      <c r="K160" s="33">
        <v>7831.2838000000002</v>
      </c>
      <c r="L160" s="33">
        <v>-2909.4630999999999</v>
      </c>
      <c r="M160" s="33">
        <v>-12870.6217</v>
      </c>
      <c r="N160" s="33">
        <v>-19383.107599999999</v>
      </c>
      <c r="O160" s="4"/>
      <c r="P160" s="33">
        <v>8</v>
      </c>
      <c r="Q160" s="33">
        <v>-3663.1115</v>
      </c>
      <c r="R160" s="33">
        <v>-2914.9391999999998</v>
      </c>
      <c r="S160" s="33">
        <v>-1385.7113999999999</v>
      </c>
      <c r="T160" s="33" t="s">
        <v>408</v>
      </c>
      <c r="U160" s="33" t="s">
        <v>409</v>
      </c>
      <c r="V160" s="33" t="s">
        <v>410</v>
      </c>
      <c r="W160" s="33" t="s">
        <v>411</v>
      </c>
      <c r="X160" s="33" t="s">
        <v>412</v>
      </c>
      <c r="Y160" s="33" t="s">
        <v>413</v>
      </c>
      <c r="Z160" s="33">
        <v>-514.81669999999997</v>
      </c>
      <c r="AA160" s="33">
        <v>-2277.4000999999998</v>
      </c>
      <c r="AB160" s="33" t="s">
        <v>414</v>
      </c>
      <c r="AE160" s="33" t="s">
        <v>56</v>
      </c>
      <c r="AF160" s="33">
        <v>-2927.2006999999999</v>
      </c>
      <c r="AG160" s="33">
        <v>-2329.3346000000001</v>
      </c>
      <c r="AH160" s="33">
        <v>-1107.3251</v>
      </c>
      <c r="AI160" s="33">
        <v>411.39120000000003</v>
      </c>
      <c r="AJ160" s="33">
        <v>1819.8756000000001</v>
      </c>
      <c r="AK160" s="33">
        <v>2740.7258000000002</v>
      </c>
      <c r="AL160" s="33">
        <v>2927.2006999999999</v>
      </c>
      <c r="AM160" s="33">
        <v>2329.3346000000001</v>
      </c>
      <c r="AN160" s="33">
        <v>1107.3251</v>
      </c>
      <c r="AO160" s="33">
        <v>-411.39120000000003</v>
      </c>
      <c r="AP160" s="33">
        <v>-1819.8756000000001</v>
      </c>
      <c r="AQ160" s="33">
        <v>-2740.7258000000002</v>
      </c>
      <c r="AR160" s="4"/>
      <c r="AS160" s="4"/>
      <c r="AT160" s="33" t="s">
        <v>56</v>
      </c>
      <c r="AU160" s="33">
        <v>-564.37850000000003</v>
      </c>
      <c r="AV160" s="33" t="s">
        <v>428</v>
      </c>
      <c r="AW160" s="33">
        <v>-213.49770000000001</v>
      </c>
      <c r="AX160" s="33">
        <v>79.318200000000004</v>
      </c>
      <c r="AY160" s="33">
        <v>350.8809</v>
      </c>
      <c r="AZ160" s="33">
        <v>528.42529999999999</v>
      </c>
      <c r="BA160" s="33">
        <v>564.37850000000003</v>
      </c>
      <c r="BB160" s="33" t="s">
        <v>429</v>
      </c>
      <c r="BC160" s="33">
        <v>213.49770000000001</v>
      </c>
      <c r="BD160" s="33">
        <v>-79.318200000000004</v>
      </c>
      <c r="BE160" s="33">
        <v>-350.8809</v>
      </c>
      <c r="BF160" s="33">
        <v>-528.42529999999999</v>
      </c>
    </row>
    <row r="161" spans="1:58" ht="15.5" x14ac:dyDescent="0.35">
      <c r="A161" s="34"/>
      <c r="B161" s="33" t="s">
        <v>59</v>
      </c>
      <c r="C161" s="33">
        <v>-20647.975399999999</v>
      </c>
      <c r="D161" s="33">
        <v>-16246.512199999999</v>
      </c>
      <c r="E161" s="33">
        <v>-7491.8091999999997</v>
      </c>
      <c r="F161" s="33" t="s">
        <v>419</v>
      </c>
      <c r="G161" s="33">
        <v>13156.1662</v>
      </c>
      <c r="H161" s="33">
        <v>19516.8302</v>
      </c>
      <c r="I161" s="33">
        <v>20647.975399999999</v>
      </c>
      <c r="J161" s="33">
        <v>16246.512199999999</v>
      </c>
      <c r="K161" s="33">
        <v>7491.8091999999997</v>
      </c>
      <c r="L161" s="33" t="s">
        <v>420</v>
      </c>
      <c r="M161" s="33">
        <v>-13156.1662</v>
      </c>
      <c r="N161" s="33">
        <v>-19516.8302</v>
      </c>
      <c r="O161" s="4"/>
      <c r="P161" s="33">
        <v>9</v>
      </c>
      <c r="Q161" s="33">
        <v>-3653.5688</v>
      </c>
      <c r="R161" s="33">
        <v>-2874.7492000000002</v>
      </c>
      <c r="S161" s="33">
        <v>-1325.6428000000001</v>
      </c>
      <c r="T161" s="33" t="s">
        <v>421</v>
      </c>
      <c r="U161" s="33" t="s">
        <v>422</v>
      </c>
      <c r="V161" s="33" t="s">
        <v>423</v>
      </c>
      <c r="W161" s="33" t="s">
        <v>424</v>
      </c>
      <c r="X161" s="33" t="s">
        <v>425</v>
      </c>
      <c r="Y161" s="33" t="s">
        <v>426</v>
      </c>
      <c r="Z161" s="33">
        <v>-578.66849999999999</v>
      </c>
      <c r="AA161" s="33" t="s">
        <v>427</v>
      </c>
      <c r="AB161" s="33">
        <v>-3453.4176000000002</v>
      </c>
      <c r="AE161" s="33" t="s">
        <v>59</v>
      </c>
      <c r="AF161" s="33">
        <v>-2919.5751</v>
      </c>
      <c r="AG161" s="33">
        <v>-2297.2186000000002</v>
      </c>
      <c r="AH161" s="33">
        <v>-1059.3242</v>
      </c>
      <c r="AI161" s="33">
        <v>462.4153</v>
      </c>
      <c r="AJ161" s="33">
        <v>1860.2509</v>
      </c>
      <c r="AK161" s="33">
        <v>2759.6338999999998</v>
      </c>
      <c r="AL161" s="33">
        <v>2919.5751</v>
      </c>
      <c r="AM161" s="33">
        <v>2297.2186000000002</v>
      </c>
      <c r="AN161" s="33">
        <v>1059.3242</v>
      </c>
      <c r="AO161" s="33">
        <v>-462.4153</v>
      </c>
      <c r="AP161" s="33">
        <v>-1860.2509</v>
      </c>
      <c r="AQ161" s="33">
        <v>-2759.6338999999998</v>
      </c>
      <c r="AR161" s="4"/>
      <c r="AS161" s="4"/>
      <c r="AT161" s="33" t="s">
        <v>59</v>
      </c>
      <c r="AU161" s="33">
        <v>-562.90830000000005</v>
      </c>
      <c r="AV161" s="33">
        <v>-442.91489999999999</v>
      </c>
      <c r="AW161" s="33">
        <v>-204.24289999999999</v>
      </c>
      <c r="AX161" s="33">
        <v>89.155900000000003</v>
      </c>
      <c r="AY161" s="33">
        <v>358.66539999999998</v>
      </c>
      <c r="AZ161" s="33">
        <v>532.07079999999996</v>
      </c>
      <c r="BA161" s="33">
        <v>562.90830000000005</v>
      </c>
      <c r="BB161" s="33">
        <v>442.91489999999999</v>
      </c>
      <c r="BC161" s="33">
        <v>204.24289999999999</v>
      </c>
      <c r="BD161" s="33">
        <v>-89.155900000000003</v>
      </c>
      <c r="BE161" s="33">
        <v>-358.66539999999998</v>
      </c>
      <c r="BF161" s="33">
        <v>-532.07079999999996</v>
      </c>
    </row>
    <row r="162" spans="1:58" ht="15.5" x14ac:dyDescent="0.35">
      <c r="A162" s="34"/>
      <c r="B162" s="33" t="s">
        <v>62</v>
      </c>
      <c r="C162" s="33">
        <v>-20587.755700000002</v>
      </c>
      <c r="D162" s="33" t="s">
        <v>430</v>
      </c>
      <c r="E162" s="33">
        <v>-7150.0524999999998</v>
      </c>
      <c r="F162" s="33">
        <v>3630.1768000000002</v>
      </c>
      <c r="G162" s="33">
        <v>13437.7032</v>
      </c>
      <c r="H162" s="33">
        <v>19644.607800000002</v>
      </c>
      <c r="I162" s="33">
        <v>20587.755700000002</v>
      </c>
      <c r="J162" s="33" t="s">
        <v>431</v>
      </c>
      <c r="K162" s="33">
        <v>7150.0524999999998</v>
      </c>
      <c r="L162" s="33">
        <v>-3630.1768000000002</v>
      </c>
      <c r="M162" s="33">
        <v>-13437.7032</v>
      </c>
      <c r="N162" s="33">
        <v>-19644.607800000002</v>
      </c>
      <c r="O162" s="4"/>
      <c r="P162" s="33">
        <v>10</v>
      </c>
      <c r="Q162" s="33">
        <v>-3642.9132</v>
      </c>
      <c r="R162" s="33">
        <v>-2833.6833999999999</v>
      </c>
      <c r="S162" s="33">
        <v>-1265.1704999999999</v>
      </c>
      <c r="T162" s="33" t="s">
        <v>432</v>
      </c>
      <c r="U162" s="33" t="s">
        <v>433</v>
      </c>
      <c r="V162" s="33" t="s">
        <v>434</v>
      </c>
      <c r="W162" s="33" t="s">
        <v>435</v>
      </c>
      <c r="X162" s="33" t="s">
        <v>436</v>
      </c>
      <c r="Y162" s="33" t="s">
        <v>437</v>
      </c>
      <c r="Z162" s="33">
        <v>-642.34389999999996</v>
      </c>
      <c r="AA162" s="33">
        <v>-2377.7426999999998</v>
      </c>
      <c r="AB162" s="33">
        <v>-3476.0273000000002</v>
      </c>
      <c r="AE162" s="33" t="s">
        <v>62</v>
      </c>
      <c r="AF162" s="33">
        <v>-2911.0601999999999</v>
      </c>
      <c r="AG162" s="33">
        <v>-2264.4029</v>
      </c>
      <c r="AH162" s="33">
        <v>-1011.0006</v>
      </c>
      <c r="AI162" s="33">
        <v>513.29849999999999</v>
      </c>
      <c r="AJ162" s="33">
        <v>1900.0596</v>
      </c>
      <c r="AK162" s="33">
        <v>2777.7013000000002</v>
      </c>
      <c r="AL162" s="33">
        <v>2911.0601999999999</v>
      </c>
      <c r="AM162" s="33">
        <v>2264.4029</v>
      </c>
      <c r="AN162" s="33">
        <v>1011.0006</v>
      </c>
      <c r="AO162" s="33">
        <v>-513.29849999999999</v>
      </c>
      <c r="AP162" s="33">
        <v>-1900.0596</v>
      </c>
      <c r="AQ162" s="33">
        <v>-2777.7013000000002</v>
      </c>
      <c r="AR162" s="4"/>
      <c r="AS162" s="4"/>
      <c r="AT162" s="33" t="s">
        <v>62</v>
      </c>
      <c r="AU162" s="33">
        <v>-561.26660000000004</v>
      </c>
      <c r="AV162" s="33">
        <v>-436.58789999999999</v>
      </c>
      <c r="AW162" s="33">
        <v>-194.92580000000001</v>
      </c>
      <c r="AX162" s="33">
        <v>98.966399999999993</v>
      </c>
      <c r="AY162" s="33">
        <v>366.34070000000003</v>
      </c>
      <c r="AZ162" s="33">
        <v>535.55430000000001</v>
      </c>
      <c r="BA162" s="33">
        <v>561.26660000000004</v>
      </c>
      <c r="BB162" s="33">
        <v>436.58789999999999</v>
      </c>
      <c r="BC162" s="33">
        <v>194.92580000000001</v>
      </c>
      <c r="BD162" s="33">
        <v>-98.966399999999993</v>
      </c>
      <c r="BE162" s="33">
        <v>-366.34070000000003</v>
      </c>
      <c r="BF162" s="33">
        <v>-535.55430000000001</v>
      </c>
    </row>
    <row r="163" spans="1:58" ht="15.5" x14ac:dyDescent="0.35">
      <c r="A163" s="34"/>
      <c r="B163" s="33" t="s">
        <v>63</v>
      </c>
      <c r="C163" s="33">
        <v>-20521.2647</v>
      </c>
      <c r="D163" s="33">
        <v>-15777.4717</v>
      </c>
      <c r="E163" s="33">
        <v>-6806.1178</v>
      </c>
      <c r="F163" s="33">
        <v>3988.9297999999999</v>
      </c>
      <c r="G163" s="33">
        <v>13715.1469</v>
      </c>
      <c r="H163" s="33">
        <v>19766.4015</v>
      </c>
      <c r="I163" s="33">
        <v>20521.2647</v>
      </c>
      <c r="J163" s="33">
        <v>15777.4717</v>
      </c>
      <c r="K163" s="33">
        <v>6806.1178</v>
      </c>
      <c r="L163" s="33">
        <v>-3988.9297999999999</v>
      </c>
      <c r="M163" s="33">
        <v>-13715.1469</v>
      </c>
      <c r="N163" s="33">
        <v>-19766.4015</v>
      </c>
      <c r="O163" s="4"/>
      <c r="P163" s="33">
        <v>11</v>
      </c>
      <c r="Q163" s="33">
        <v>-3631.1478999999999</v>
      </c>
      <c r="R163" s="33">
        <v>-2791.7545</v>
      </c>
      <c r="S163" s="33">
        <v>-1204.3126999999999</v>
      </c>
      <c r="T163" s="33" t="s">
        <v>438</v>
      </c>
      <c r="U163" s="33" t="s">
        <v>439</v>
      </c>
      <c r="V163" s="33" t="s">
        <v>440</v>
      </c>
      <c r="W163" s="33" t="s">
        <v>441</v>
      </c>
      <c r="X163" s="33" t="s">
        <v>442</v>
      </c>
      <c r="Y163" s="33" t="s">
        <v>443</v>
      </c>
      <c r="Z163" s="33">
        <v>-705.82370000000003</v>
      </c>
      <c r="AA163" s="33">
        <v>-2426.8352</v>
      </c>
      <c r="AB163" s="33">
        <v>-3497.5781999999999</v>
      </c>
      <c r="AE163" s="33" t="s">
        <v>63</v>
      </c>
      <c r="AF163" s="33">
        <v>-2901.6585</v>
      </c>
      <c r="AG163" s="33">
        <v>-2230.8973999999998</v>
      </c>
      <c r="AH163" s="33" t="s">
        <v>452</v>
      </c>
      <c r="AI163" s="33">
        <v>564.02530000000002</v>
      </c>
      <c r="AJ163" s="33">
        <v>1939.2895000000001</v>
      </c>
      <c r="AK163" s="33">
        <v>2794.9227000000001</v>
      </c>
      <c r="AL163" s="33">
        <v>2901.6585</v>
      </c>
      <c r="AM163" s="33">
        <v>2230.8973999999998</v>
      </c>
      <c r="AN163" s="33" t="s">
        <v>453</v>
      </c>
      <c r="AO163" s="33">
        <v>-564.02530000000002</v>
      </c>
      <c r="AP163" s="33">
        <v>-1939.2895000000001</v>
      </c>
      <c r="AQ163" s="33">
        <v>-2794.9227000000001</v>
      </c>
      <c r="AR163" s="4"/>
      <c r="AS163" s="4"/>
      <c r="AT163" s="33" t="s">
        <v>63</v>
      </c>
      <c r="AU163" s="33">
        <v>-559.45389999999998</v>
      </c>
      <c r="AV163" s="33">
        <v>-430.12790000000001</v>
      </c>
      <c r="AW163" s="33">
        <v>-185.54939999999999</v>
      </c>
      <c r="AX163" s="33">
        <v>108.74679999999999</v>
      </c>
      <c r="AY163" s="33">
        <v>373.90440000000001</v>
      </c>
      <c r="AZ163" s="33">
        <v>538.87469999999996</v>
      </c>
      <c r="BA163" s="33">
        <v>559.45389999999998</v>
      </c>
      <c r="BB163" s="33">
        <v>430.12790000000001</v>
      </c>
      <c r="BC163" s="33">
        <v>185.54939999999999</v>
      </c>
      <c r="BD163" s="33">
        <v>-108.74679999999999</v>
      </c>
      <c r="BE163" s="33">
        <v>-373.90440000000001</v>
      </c>
      <c r="BF163" s="33">
        <v>-538.87469999999996</v>
      </c>
    </row>
    <row r="164" spans="1:58" ht="15.5" x14ac:dyDescent="0.35">
      <c r="A164" s="34"/>
      <c r="B164" s="33" t="s">
        <v>64</v>
      </c>
      <c r="C164" s="33">
        <v>-20448.522799999999</v>
      </c>
      <c r="D164" s="33">
        <v>-15535.706399999999</v>
      </c>
      <c r="E164" s="33" t="s">
        <v>444</v>
      </c>
      <c r="F164" s="33">
        <v>4346.4677000000001</v>
      </c>
      <c r="G164" s="33">
        <v>13988.412899999999</v>
      </c>
      <c r="H164" s="33">
        <v>19882.1741</v>
      </c>
      <c r="I164" s="33">
        <v>20448.522799999999</v>
      </c>
      <c r="J164" s="33">
        <v>15535.706399999999</v>
      </c>
      <c r="K164" s="33" t="s">
        <v>445</v>
      </c>
      <c r="L164" s="33">
        <v>-4346.4677000000001</v>
      </c>
      <c r="M164" s="33">
        <v>-13988.412899999999</v>
      </c>
      <c r="N164" s="33">
        <v>-19882.1741</v>
      </c>
      <c r="O164" s="4"/>
      <c r="P164" s="33">
        <v>12</v>
      </c>
      <c r="Q164" s="33">
        <v>-3618.2764999999999</v>
      </c>
      <c r="R164" s="33">
        <v>-2748.9751999999999</v>
      </c>
      <c r="S164" s="33">
        <v>-1143.0881999999999</v>
      </c>
      <c r="T164" s="33" t="s">
        <v>446</v>
      </c>
      <c r="U164" s="33" t="s">
        <v>447</v>
      </c>
      <c r="V164" s="33" t="s">
        <v>448</v>
      </c>
      <c r="W164" s="33" t="s">
        <v>449</v>
      </c>
      <c r="X164" s="33" t="s">
        <v>450</v>
      </c>
      <c r="Y164" s="33" t="s">
        <v>451</v>
      </c>
      <c r="Z164" s="33">
        <v>-769.08839999999998</v>
      </c>
      <c r="AA164" s="33">
        <v>-2475.1884</v>
      </c>
      <c r="AB164" s="33">
        <v>-3518.0636</v>
      </c>
      <c r="AE164" s="33" t="s">
        <v>64</v>
      </c>
      <c r="AF164" s="33" t="s">
        <v>461</v>
      </c>
      <c r="AG164" s="33">
        <v>-2196.7123000000001</v>
      </c>
      <c r="AH164" s="33">
        <v>-913.4443</v>
      </c>
      <c r="AI164" s="33">
        <v>614.58029999999997</v>
      </c>
      <c r="AJ164" s="33">
        <v>1977.9277999999999</v>
      </c>
      <c r="AK164" s="33">
        <v>2811.2926000000002</v>
      </c>
      <c r="AL164" s="33" t="s">
        <v>462</v>
      </c>
      <c r="AM164" s="33">
        <v>2196.7123000000001</v>
      </c>
      <c r="AN164" s="33">
        <v>913.4443</v>
      </c>
      <c r="AO164" s="33">
        <v>-614.58029999999997</v>
      </c>
      <c r="AP164" s="33">
        <v>-1977.9277999999999</v>
      </c>
      <c r="AQ164" s="33">
        <v>-2811.2926000000002</v>
      </c>
      <c r="AR164" s="4"/>
      <c r="AS164" s="4"/>
      <c r="AT164" s="33" t="s">
        <v>64</v>
      </c>
      <c r="AU164" s="33">
        <v>-557.47080000000005</v>
      </c>
      <c r="AV164" s="33">
        <v>-423.53680000000003</v>
      </c>
      <c r="AW164" s="33">
        <v>-176.1165</v>
      </c>
      <c r="AX164" s="33">
        <v>118.4941</v>
      </c>
      <c r="AY164" s="33">
        <v>381.35430000000002</v>
      </c>
      <c r="AZ164" s="33">
        <v>542.03089999999997</v>
      </c>
      <c r="BA164" s="33">
        <v>557.47080000000005</v>
      </c>
      <c r="BB164" s="33">
        <v>423.53680000000003</v>
      </c>
      <c r="BC164" s="33">
        <v>176.1165</v>
      </c>
      <c r="BD164" s="33">
        <v>-118.4941</v>
      </c>
      <c r="BE164" s="33">
        <v>-381.35430000000002</v>
      </c>
      <c r="BF164" s="33">
        <v>-542.03089999999997</v>
      </c>
    </row>
    <row r="165" spans="1:58" ht="15.5" x14ac:dyDescent="0.35">
      <c r="A165" s="34"/>
      <c r="B165" s="33" t="s">
        <v>68</v>
      </c>
      <c r="C165" s="33">
        <v>-20369.552100000001</v>
      </c>
      <c r="D165" s="33">
        <v>-15289.2088</v>
      </c>
      <c r="E165" s="33">
        <v>-6112.1342999999997</v>
      </c>
      <c r="F165" s="33">
        <v>4702.6815999999999</v>
      </c>
      <c r="G165" s="33">
        <v>14257.417799999999</v>
      </c>
      <c r="H165" s="33">
        <v>19991.8904</v>
      </c>
      <c r="I165" s="33">
        <v>20369.552100000001</v>
      </c>
      <c r="J165" s="33">
        <v>15289.2088</v>
      </c>
      <c r="K165" s="33">
        <v>6112.1342999999997</v>
      </c>
      <c r="L165" s="33">
        <v>-4702.6815999999999</v>
      </c>
      <c r="M165" s="33">
        <v>-14257.417799999999</v>
      </c>
      <c r="N165" s="33">
        <v>-19991.8904</v>
      </c>
      <c r="O165" s="4"/>
      <c r="P165" s="33">
        <v>13</v>
      </c>
      <c r="Q165" s="33" t="s">
        <v>454</v>
      </c>
      <c r="R165" s="33">
        <v>-27053.584999999999</v>
      </c>
      <c r="S165" s="33">
        <v>-1081.5154</v>
      </c>
      <c r="T165" s="33" t="s">
        <v>455</v>
      </c>
      <c r="U165" s="33" t="s">
        <v>456</v>
      </c>
      <c r="V165" s="33" t="s">
        <v>457</v>
      </c>
      <c r="W165" s="33" t="s">
        <v>458</v>
      </c>
      <c r="X165" s="33" t="s">
        <v>459</v>
      </c>
      <c r="Y165" s="33" t="s">
        <v>460</v>
      </c>
      <c r="Z165" s="33">
        <v>-832.11890000000005</v>
      </c>
      <c r="AA165" s="33">
        <v>-2522.7876000000001</v>
      </c>
      <c r="AB165" s="33">
        <v>-3537.4774000000002</v>
      </c>
      <c r="AE165" s="33" t="s">
        <v>68</v>
      </c>
      <c r="AF165" s="33">
        <v>-2880.2067000000002</v>
      </c>
      <c r="AG165" s="33">
        <v>-2161.8580999999999</v>
      </c>
      <c r="AH165" s="33">
        <v>-864.2414</v>
      </c>
      <c r="AI165" s="33">
        <v>664.94809999999995</v>
      </c>
      <c r="AJ165" s="33">
        <v>2015.9653000000001</v>
      </c>
      <c r="AK165" s="33">
        <v>2826.8063000000002</v>
      </c>
      <c r="AL165" s="33">
        <v>2880.2067000000002</v>
      </c>
      <c r="AM165" s="33">
        <v>2161.8580999999999</v>
      </c>
      <c r="AN165" s="33">
        <v>864.2414</v>
      </c>
      <c r="AO165" s="33">
        <v>-664.94809999999995</v>
      </c>
      <c r="AP165" s="33">
        <v>-2015.9653000000001</v>
      </c>
      <c r="AQ165" s="33">
        <v>-2826.8063000000002</v>
      </c>
      <c r="AR165" s="4"/>
      <c r="AS165" s="4"/>
      <c r="AT165" s="33" t="s">
        <v>68</v>
      </c>
      <c r="AU165" s="33">
        <v>-555.31790000000001</v>
      </c>
      <c r="AV165" s="33">
        <v>-416.8168</v>
      </c>
      <c r="AW165" s="33">
        <v>-166.62989999999999</v>
      </c>
      <c r="AX165" s="33">
        <v>128.20519999999999</v>
      </c>
      <c r="AY165" s="33">
        <v>388.68790000000001</v>
      </c>
      <c r="AZ165" s="33" t="s">
        <v>471</v>
      </c>
      <c r="BA165" s="33">
        <v>555.31790000000001</v>
      </c>
      <c r="BB165" s="33">
        <v>416.8168</v>
      </c>
      <c r="BC165" s="33">
        <v>166.62989999999999</v>
      </c>
      <c r="BD165" s="33">
        <v>-128.20519999999999</v>
      </c>
      <c r="BE165" s="33">
        <v>-388.68790000000001</v>
      </c>
      <c r="BF165" s="33" t="s">
        <v>472</v>
      </c>
    </row>
    <row r="166" spans="1:58" ht="15.5" x14ac:dyDescent="0.35">
      <c r="A166" s="34"/>
      <c r="B166" s="33" t="s">
        <v>71</v>
      </c>
      <c r="C166" s="33">
        <v>-20284.3766</v>
      </c>
      <c r="D166" s="33">
        <v>-15038.053900000001</v>
      </c>
      <c r="E166" s="33">
        <v>-5762.2968000000001</v>
      </c>
      <c r="F166" s="33">
        <v>5057.4630999999999</v>
      </c>
      <c r="G166" s="33">
        <v>14522.0798</v>
      </c>
      <c r="H166" s="33" t="s">
        <v>463</v>
      </c>
      <c r="I166" s="33">
        <v>20284.3766</v>
      </c>
      <c r="J166" s="33">
        <v>15038.053900000001</v>
      </c>
      <c r="K166" s="33">
        <v>5762.2968000000001</v>
      </c>
      <c r="L166" s="33">
        <v>-5057.4630999999999</v>
      </c>
      <c r="M166" s="33">
        <v>-14522.0798</v>
      </c>
      <c r="N166" s="33" t="s">
        <v>464</v>
      </c>
      <c r="O166" s="4"/>
      <c r="P166" s="33">
        <v>14</v>
      </c>
      <c r="Q166" s="33">
        <v>-3589.2316000000001</v>
      </c>
      <c r="R166" s="33">
        <v>-2660.9178000000002</v>
      </c>
      <c r="S166" s="33">
        <v>-1019.6132</v>
      </c>
      <c r="T166" s="33" t="s">
        <v>465</v>
      </c>
      <c r="U166" s="33" t="s">
        <v>466</v>
      </c>
      <c r="V166" s="33" t="s">
        <v>467</v>
      </c>
      <c r="W166" s="33" t="s">
        <v>468</v>
      </c>
      <c r="X166" s="33" t="s">
        <v>469</v>
      </c>
      <c r="Y166" s="33" t="s">
        <v>470</v>
      </c>
      <c r="Z166" s="33">
        <v>-894.89589999999998</v>
      </c>
      <c r="AA166" s="33">
        <v>-2569.6183999999998</v>
      </c>
      <c r="AB166" s="33">
        <v>-3555.8137000000002</v>
      </c>
      <c r="AE166" s="33" t="s">
        <v>71</v>
      </c>
      <c r="AF166" s="33">
        <v>-2868.1631000000002</v>
      </c>
      <c r="AG166" s="33">
        <v>-2126.3454000000002</v>
      </c>
      <c r="AH166" s="33">
        <v>-814.77520000000004</v>
      </c>
      <c r="AI166" s="33">
        <v>715.11339999999996</v>
      </c>
      <c r="AJ166" s="33">
        <v>2053.3879000000002</v>
      </c>
      <c r="AK166" s="33">
        <v>2841.4587999999999</v>
      </c>
      <c r="AL166" s="33">
        <v>2868.1631000000002</v>
      </c>
      <c r="AM166" s="33">
        <v>2126.3454000000002</v>
      </c>
      <c r="AN166" s="33">
        <v>814.77520000000004</v>
      </c>
      <c r="AO166" s="33">
        <v>-715.11339999999996</v>
      </c>
      <c r="AP166" s="33">
        <v>-2053.3879000000002</v>
      </c>
      <c r="AQ166" s="33">
        <v>-2841.4587999999999</v>
      </c>
      <c r="AR166" s="4"/>
      <c r="AS166" s="4"/>
      <c r="AT166" s="33" t="s">
        <v>71</v>
      </c>
      <c r="AU166" s="33">
        <v>-552.99580000000003</v>
      </c>
      <c r="AV166" s="33">
        <v>-409.96969999999999</v>
      </c>
      <c r="AW166" s="33">
        <v>-157.0926</v>
      </c>
      <c r="AX166" s="33">
        <v>137.87729999999999</v>
      </c>
      <c r="AY166" s="33">
        <v>395.90320000000003</v>
      </c>
      <c r="AZ166" s="33">
        <v>547.84709999999995</v>
      </c>
      <c r="BA166" s="33">
        <v>552.99580000000003</v>
      </c>
      <c r="BB166" s="33">
        <v>409.96969999999999</v>
      </c>
      <c r="BC166" s="33">
        <v>157.0926</v>
      </c>
      <c r="BD166" s="33">
        <v>-137.87729999999999</v>
      </c>
      <c r="BE166" s="33">
        <v>-395.90320000000003</v>
      </c>
      <c r="BF166" s="33">
        <v>-547.84709999999995</v>
      </c>
    </row>
    <row r="167" spans="1:58" ht="15.5" x14ac:dyDescent="0.35">
      <c r="A167" s="34"/>
      <c r="B167" s="33" t="s">
        <v>72</v>
      </c>
      <c r="C167" s="33">
        <v>-20193.022300000001</v>
      </c>
      <c r="D167" s="33">
        <v>-14782.318300000001</v>
      </c>
      <c r="E167" s="33" t="s">
        <v>473</v>
      </c>
      <c r="F167" s="33" t="s">
        <v>474</v>
      </c>
      <c r="G167" s="33">
        <v>14782.318300000001</v>
      </c>
      <c r="H167" s="33">
        <v>20193.022300000001</v>
      </c>
      <c r="I167" s="33">
        <v>20193.022300000001</v>
      </c>
      <c r="J167" s="33">
        <v>14782.318300000001</v>
      </c>
      <c r="K167" s="33" t="s">
        <v>474</v>
      </c>
      <c r="L167" s="33" t="s">
        <v>473</v>
      </c>
      <c r="M167" s="33">
        <v>-14782.318300000001</v>
      </c>
      <c r="N167" s="33">
        <v>-20193.022300000001</v>
      </c>
      <c r="O167" s="4"/>
      <c r="P167" s="33">
        <v>15</v>
      </c>
      <c r="Q167" s="33">
        <v>-3573.0668000000001</v>
      </c>
      <c r="R167" s="33">
        <v>-2615.6664999999998</v>
      </c>
      <c r="S167" s="33">
        <v>-957.40039999999999</v>
      </c>
      <c r="T167" s="33" t="s">
        <v>475</v>
      </c>
      <c r="U167" s="33" t="s">
        <v>476</v>
      </c>
      <c r="V167" s="33" t="s">
        <v>477</v>
      </c>
      <c r="W167" s="33" t="s">
        <v>477</v>
      </c>
      <c r="X167" s="33" t="s">
        <v>476</v>
      </c>
      <c r="Y167" s="33" t="s">
        <v>475</v>
      </c>
      <c r="Z167" s="33">
        <v>-957.40039999999999</v>
      </c>
      <c r="AA167" s="33">
        <v>-2615.6664999999998</v>
      </c>
      <c r="AB167" s="33">
        <v>-3573.0668000000001</v>
      </c>
      <c r="AE167" s="33" t="s">
        <v>72</v>
      </c>
      <c r="AF167" s="33">
        <v>-2855.2458000000001</v>
      </c>
      <c r="AG167" s="33" t="s">
        <v>478</v>
      </c>
      <c r="AH167" s="33">
        <v>-765.06079999999997</v>
      </c>
      <c r="AI167" s="33">
        <v>765.06079999999997</v>
      </c>
      <c r="AJ167" s="33" t="s">
        <v>479</v>
      </c>
      <c r="AK167" s="33">
        <v>2855.2458000000001</v>
      </c>
      <c r="AL167" s="33">
        <v>2855.2458000000001</v>
      </c>
      <c r="AM167" s="33" t="s">
        <v>479</v>
      </c>
      <c r="AN167" s="33">
        <v>765.06079999999997</v>
      </c>
      <c r="AO167" s="33">
        <v>-765.06079999999997</v>
      </c>
      <c r="AP167" s="33" t="s">
        <v>478</v>
      </c>
      <c r="AQ167" s="33">
        <v>-2855.2458000000001</v>
      </c>
      <c r="AR167" s="4"/>
      <c r="AS167" s="4"/>
      <c r="AT167" s="33" t="s">
        <v>72</v>
      </c>
      <c r="AU167" s="33">
        <v>-550.50530000000003</v>
      </c>
      <c r="AV167" s="33">
        <v>-402.99779999999998</v>
      </c>
      <c r="AW167" s="33">
        <v>-147.50739999999999</v>
      </c>
      <c r="AX167" s="33">
        <v>147.50739999999999</v>
      </c>
      <c r="AY167" s="33">
        <v>402.99779999999998</v>
      </c>
      <c r="AZ167" s="33">
        <v>550.50530000000003</v>
      </c>
      <c r="BA167" s="33">
        <v>550.50530000000003</v>
      </c>
      <c r="BB167" s="33">
        <v>402.99779999999998</v>
      </c>
      <c r="BC167" s="33">
        <v>147.50739999999999</v>
      </c>
      <c r="BD167" s="33">
        <v>-147.50739999999999</v>
      </c>
      <c r="BE167" s="33">
        <v>-402.99779999999998</v>
      </c>
      <c r="BF167" s="33">
        <v>-550.50530000000003</v>
      </c>
    </row>
    <row r="168" spans="1:58" ht="15.5" x14ac:dyDescent="0.35">
      <c r="A168" s="34"/>
      <c r="B168" s="33" t="s">
        <v>73</v>
      </c>
      <c r="C168" s="33" t="s">
        <v>464</v>
      </c>
      <c r="D168" s="33">
        <v>-14522.0798</v>
      </c>
      <c r="E168" s="33">
        <v>-5057.4630999999999</v>
      </c>
      <c r="F168" s="33">
        <v>5762.2968000000001</v>
      </c>
      <c r="G168" s="33">
        <v>15038.053900000001</v>
      </c>
      <c r="H168" s="33">
        <v>20284.3766</v>
      </c>
      <c r="I168" s="33" t="s">
        <v>463</v>
      </c>
      <c r="J168" s="33">
        <v>14522.0798</v>
      </c>
      <c r="K168" s="33">
        <v>5057.4630999999999</v>
      </c>
      <c r="L168" s="33">
        <v>-5762.2968000000001</v>
      </c>
      <c r="M168" s="33">
        <v>-15038.053900000001</v>
      </c>
      <c r="N168" s="33">
        <v>-20284.3766</v>
      </c>
      <c r="O168" s="4"/>
      <c r="P168" s="33">
        <v>16</v>
      </c>
      <c r="Q168" s="33">
        <v>-3555.8137000000002</v>
      </c>
      <c r="R168" s="33">
        <v>-2569.6183999999998</v>
      </c>
      <c r="S168" s="33">
        <v>-894.89589999999998</v>
      </c>
      <c r="T168" s="33" t="s">
        <v>470</v>
      </c>
      <c r="U168" s="33" t="s">
        <v>469</v>
      </c>
      <c r="V168" s="33" t="s">
        <v>468</v>
      </c>
      <c r="W168" s="33" t="s">
        <v>467</v>
      </c>
      <c r="X168" s="33" t="s">
        <v>466</v>
      </c>
      <c r="Y168" s="33" t="s">
        <v>465</v>
      </c>
      <c r="Z168" s="33">
        <v>-1019.6132</v>
      </c>
      <c r="AA168" s="33">
        <v>-2660.9178000000002</v>
      </c>
      <c r="AB168" s="33">
        <v>-3589.2316000000001</v>
      </c>
      <c r="AE168" s="33" t="s">
        <v>73</v>
      </c>
      <c r="AF168" s="33">
        <v>-2841.4587999999999</v>
      </c>
      <c r="AG168" s="33">
        <v>-2053.3879000000002</v>
      </c>
      <c r="AH168" s="33">
        <v>-715.11339999999996</v>
      </c>
      <c r="AI168" s="33">
        <v>814.77520000000004</v>
      </c>
      <c r="AJ168" s="33">
        <v>2126.3454000000002</v>
      </c>
      <c r="AK168" s="33">
        <v>2868.1631000000002</v>
      </c>
      <c r="AL168" s="33">
        <v>2841.4587999999999</v>
      </c>
      <c r="AM168" s="33">
        <v>2053.3879000000002</v>
      </c>
      <c r="AN168" s="33">
        <v>715.11339999999996</v>
      </c>
      <c r="AO168" s="33">
        <v>-814.77520000000004</v>
      </c>
      <c r="AP168" s="33">
        <v>-2126.3454000000002</v>
      </c>
      <c r="AQ168" s="33">
        <v>-2868.1631000000002</v>
      </c>
      <c r="AR168" s="4"/>
      <c r="AS168" s="4"/>
      <c r="AT168" s="33" t="s">
        <v>73</v>
      </c>
      <c r="AU168" s="33">
        <v>-547.84709999999995</v>
      </c>
      <c r="AV168" s="33">
        <v>-395.90320000000003</v>
      </c>
      <c r="AW168" s="33">
        <v>-137.87729999999999</v>
      </c>
      <c r="AX168" s="33">
        <v>157.0926</v>
      </c>
      <c r="AY168" s="33">
        <v>409.96969999999999</v>
      </c>
      <c r="AZ168" s="33">
        <v>552.99580000000003</v>
      </c>
      <c r="BA168" s="33">
        <v>547.84709999999995</v>
      </c>
      <c r="BB168" s="33">
        <v>395.90320000000003</v>
      </c>
      <c r="BC168" s="33">
        <v>137.87729999999999</v>
      </c>
      <c r="BD168" s="33">
        <v>-157.0926</v>
      </c>
      <c r="BE168" s="33">
        <v>-409.96969999999999</v>
      </c>
      <c r="BF168" s="33">
        <v>-552.99580000000003</v>
      </c>
    </row>
    <row r="169" spans="1:58" ht="15.5" x14ac:dyDescent="0.35">
      <c r="A169" s="34"/>
      <c r="B169" s="33" t="s">
        <v>74</v>
      </c>
      <c r="C169" s="33">
        <v>-19991.8904</v>
      </c>
      <c r="D169" s="33">
        <v>-14257.417799999999</v>
      </c>
      <c r="E169" s="33">
        <v>-4702.6815999999999</v>
      </c>
      <c r="F169" s="33">
        <v>6112.1342999999997</v>
      </c>
      <c r="G169" s="33">
        <v>15289.2088</v>
      </c>
      <c r="H169" s="33">
        <v>20369.552100000001</v>
      </c>
      <c r="I169" s="33">
        <v>19991.8904</v>
      </c>
      <c r="J169" s="33">
        <v>14257.417799999999</v>
      </c>
      <c r="K169" s="33">
        <v>4702.6815999999999</v>
      </c>
      <c r="L169" s="33">
        <v>-6112.1342999999997</v>
      </c>
      <c r="M169" s="33">
        <v>-15289.2088</v>
      </c>
      <c r="N169" s="33">
        <v>-20369.552100000001</v>
      </c>
      <c r="O169" s="4"/>
      <c r="P169" s="33">
        <v>17</v>
      </c>
      <c r="Q169" s="33">
        <v>-3537.4774000000002</v>
      </c>
      <c r="R169" s="33">
        <v>-2522.7876000000001</v>
      </c>
      <c r="S169" s="33">
        <v>-832.11890000000005</v>
      </c>
      <c r="T169" s="33" t="s">
        <v>460</v>
      </c>
      <c r="U169" s="33" t="s">
        <v>459</v>
      </c>
      <c r="V169" s="33" t="s">
        <v>458</v>
      </c>
      <c r="W169" s="33" t="s">
        <v>457</v>
      </c>
      <c r="X169" s="33" t="s">
        <v>456</v>
      </c>
      <c r="Y169" s="33" t="s">
        <v>455</v>
      </c>
      <c r="Z169" s="33">
        <v>-1081.5154</v>
      </c>
      <c r="AA169" s="33">
        <v>-27053.584999999999</v>
      </c>
      <c r="AB169" s="33" t="s">
        <v>454</v>
      </c>
      <c r="AE169" s="33" t="s">
        <v>74</v>
      </c>
      <c r="AF169" s="33">
        <v>-2826.8063000000002</v>
      </c>
      <c r="AG169" s="33">
        <v>-2015.9653000000001</v>
      </c>
      <c r="AH169" s="33">
        <v>-664.94809999999995</v>
      </c>
      <c r="AI169" s="33">
        <v>864.2414</v>
      </c>
      <c r="AJ169" s="33">
        <v>2161.8580999999999</v>
      </c>
      <c r="AK169" s="33">
        <v>2880.2067000000002</v>
      </c>
      <c r="AL169" s="33">
        <v>2826.8063000000002</v>
      </c>
      <c r="AM169" s="33">
        <v>2015.9653000000001</v>
      </c>
      <c r="AN169" s="33">
        <v>664.94809999999995</v>
      </c>
      <c r="AO169" s="33">
        <v>-864.2414</v>
      </c>
      <c r="AP169" s="33">
        <v>-2161.8580999999999</v>
      </c>
      <c r="AQ169" s="33">
        <v>-2880.2067000000002</v>
      </c>
      <c r="AR169" s="4"/>
      <c r="AS169" s="4"/>
      <c r="AT169" s="33" t="s">
        <v>74</v>
      </c>
      <c r="AU169" s="33" t="s">
        <v>472</v>
      </c>
      <c r="AV169" s="33">
        <v>-388.68790000000001</v>
      </c>
      <c r="AW169" s="33">
        <v>-128.20519999999999</v>
      </c>
      <c r="AX169" s="33">
        <v>166.62989999999999</v>
      </c>
      <c r="AY169" s="33">
        <v>416.8168</v>
      </c>
      <c r="AZ169" s="33">
        <v>555.31790000000001</v>
      </c>
      <c r="BA169" s="33" t="s">
        <v>471</v>
      </c>
      <c r="BB169" s="33">
        <v>388.68790000000001</v>
      </c>
      <c r="BC169" s="33">
        <v>128.20519999999999</v>
      </c>
      <c r="BD169" s="33">
        <v>-166.62989999999999</v>
      </c>
      <c r="BE169" s="33">
        <v>-416.8168</v>
      </c>
      <c r="BF169" s="33">
        <v>-555.31790000000001</v>
      </c>
    </row>
    <row r="170" spans="1:58" ht="15.5" x14ac:dyDescent="0.35">
      <c r="A170" s="34"/>
      <c r="B170" s="33" t="s">
        <v>75</v>
      </c>
      <c r="C170" s="33">
        <v>-19882.1741</v>
      </c>
      <c r="D170" s="33">
        <v>-13988.412899999999</v>
      </c>
      <c r="E170" s="33">
        <v>-4346.4677000000001</v>
      </c>
      <c r="F170" s="33" t="s">
        <v>445</v>
      </c>
      <c r="G170" s="33">
        <v>15535.706399999999</v>
      </c>
      <c r="H170" s="33">
        <v>20448.522799999999</v>
      </c>
      <c r="I170" s="33">
        <v>19882.1741</v>
      </c>
      <c r="J170" s="33">
        <v>13988.412899999999</v>
      </c>
      <c r="K170" s="33">
        <v>4346.4677000000001</v>
      </c>
      <c r="L170" s="33" t="s">
        <v>444</v>
      </c>
      <c r="M170" s="33">
        <v>-15535.706399999999</v>
      </c>
      <c r="N170" s="33">
        <v>-20448.522799999999</v>
      </c>
      <c r="O170" s="4"/>
      <c r="P170" s="33">
        <v>18</v>
      </c>
      <c r="Q170" s="33">
        <v>-3518.0636</v>
      </c>
      <c r="R170" s="33">
        <v>-2475.1884</v>
      </c>
      <c r="S170" s="33">
        <v>-769.08839999999998</v>
      </c>
      <c r="T170" s="33" t="s">
        <v>451</v>
      </c>
      <c r="U170" s="33" t="s">
        <v>450</v>
      </c>
      <c r="V170" s="33" t="s">
        <v>449</v>
      </c>
      <c r="W170" s="33" t="s">
        <v>448</v>
      </c>
      <c r="X170" s="33" t="s">
        <v>447</v>
      </c>
      <c r="Y170" s="33" t="s">
        <v>446</v>
      </c>
      <c r="Z170" s="33">
        <v>-1143.0881999999999</v>
      </c>
      <c r="AA170" s="33">
        <v>-2748.9751999999999</v>
      </c>
      <c r="AB170" s="33">
        <v>-3618.2764999999999</v>
      </c>
      <c r="AE170" s="33" t="s">
        <v>75</v>
      </c>
      <c r="AF170" s="33">
        <v>-2811.2926000000002</v>
      </c>
      <c r="AG170" s="33">
        <v>-1977.9277999999999</v>
      </c>
      <c r="AH170" s="33">
        <v>-614.58029999999997</v>
      </c>
      <c r="AI170" s="33">
        <v>913.4443</v>
      </c>
      <c r="AJ170" s="33">
        <v>2196.7123000000001</v>
      </c>
      <c r="AK170" s="33" t="s">
        <v>462</v>
      </c>
      <c r="AL170" s="33">
        <v>2811.2926000000002</v>
      </c>
      <c r="AM170" s="33">
        <v>1977.9277999999999</v>
      </c>
      <c r="AN170" s="33">
        <v>614.58029999999997</v>
      </c>
      <c r="AO170" s="33">
        <v>-913.4443</v>
      </c>
      <c r="AP170" s="33">
        <v>-2196.7123000000001</v>
      </c>
      <c r="AQ170" s="33" t="s">
        <v>461</v>
      </c>
      <c r="AR170" s="4"/>
      <c r="AS170" s="4"/>
      <c r="AT170" s="33" t="s">
        <v>75</v>
      </c>
      <c r="AU170" s="33">
        <v>-542.03089999999997</v>
      </c>
      <c r="AV170" s="33">
        <v>-381.35430000000002</v>
      </c>
      <c r="AW170" s="33">
        <v>-118.4941</v>
      </c>
      <c r="AX170" s="33">
        <v>176.1165</v>
      </c>
      <c r="AY170" s="33">
        <v>423.53680000000003</v>
      </c>
      <c r="AZ170" s="33">
        <v>557.47080000000005</v>
      </c>
      <c r="BA170" s="33">
        <v>542.03089999999997</v>
      </c>
      <c r="BB170" s="33">
        <v>381.35430000000002</v>
      </c>
      <c r="BC170" s="33">
        <v>118.4941</v>
      </c>
      <c r="BD170" s="33">
        <v>-176.1165</v>
      </c>
      <c r="BE170" s="33">
        <v>-423.53680000000003</v>
      </c>
      <c r="BF170" s="33">
        <v>-557.47080000000005</v>
      </c>
    </row>
    <row r="171" spans="1:58" ht="15.5" x14ac:dyDescent="0.35">
      <c r="A171" s="34"/>
      <c r="B171" s="33" t="s">
        <v>77</v>
      </c>
      <c r="C171" s="33">
        <v>-19766.4015</v>
      </c>
      <c r="D171" s="33">
        <v>-13715.1469</v>
      </c>
      <c r="E171" s="33">
        <v>-3988.9297999999999</v>
      </c>
      <c r="F171" s="33">
        <v>6806.1178</v>
      </c>
      <c r="G171" s="33">
        <v>15777.4717</v>
      </c>
      <c r="H171" s="33">
        <v>20521.2647</v>
      </c>
      <c r="I171" s="33">
        <v>19766.4015</v>
      </c>
      <c r="J171" s="33">
        <v>13715.1469</v>
      </c>
      <c r="K171" s="33">
        <v>3988.9297999999999</v>
      </c>
      <c r="L171" s="33">
        <v>-6806.1178</v>
      </c>
      <c r="M171" s="33">
        <v>-15777.4717</v>
      </c>
      <c r="N171" s="33">
        <v>-20521.2647</v>
      </c>
      <c r="O171" s="4"/>
      <c r="P171" s="33">
        <v>19</v>
      </c>
      <c r="Q171" s="33">
        <v>-3497.5781999999999</v>
      </c>
      <c r="R171" s="33">
        <v>-2426.8352</v>
      </c>
      <c r="S171" s="33">
        <v>-705.82370000000003</v>
      </c>
      <c r="T171" s="33" t="s">
        <v>443</v>
      </c>
      <c r="U171" s="33" t="s">
        <v>442</v>
      </c>
      <c r="V171" s="33" t="s">
        <v>441</v>
      </c>
      <c r="W171" s="33" t="s">
        <v>440</v>
      </c>
      <c r="X171" s="33" t="s">
        <v>439</v>
      </c>
      <c r="Y171" s="33" t="s">
        <v>438</v>
      </c>
      <c r="Z171" s="33">
        <v>-1204.3126999999999</v>
      </c>
      <c r="AA171" s="33">
        <v>-2791.7545</v>
      </c>
      <c r="AB171" s="33">
        <v>-3631.1478999999999</v>
      </c>
      <c r="AE171" s="33" t="s">
        <v>77</v>
      </c>
      <c r="AF171" s="33">
        <v>-2794.9227000000001</v>
      </c>
      <c r="AG171" s="33" t="s">
        <v>480</v>
      </c>
      <c r="AH171" s="33">
        <v>-564.02530000000002</v>
      </c>
      <c r="AI171" s="33" t="s">
        <v>453</v>
      </c>
      <c r="AJ171" s="33">
        <v>2230.8973999999998</v>
      </c>
      <c r="AK171" s="33">
        <v>2901.6585</v>
      </c>
      <c r="AL171" s="33">
        <v>2794.9227000000001</v>
      </c>
      <c r="AM171" s="33">
        <v>1939.2895000000001</v>
      </c>
      <c r="AN171" s="33">
        <v>564.02530000000002</v>
      </c>
      <c r="AO171" s="33" t="s">
        <v>452</v>
      </c>
      <c r="AP171" s="33">
        <v>-2230.8973999999998</v>
      </c>
      <c r="AQ171" s="33">
        <v>-2901.6585</v>
      </c>
      <c r="AR171" s="4"/>
      <c r="AS171" s="4"/>
      <c r="AT171" s="33" t="s">
        <v>77</v>
      </c>
      <c r="AU171" s="33">
        <v>-538.87469999999996</v>
      </c>
      <c r="AV171" s="33">
        <v>-373.90440000000001</v>
      </c>
      <c r="AW171" s="33">
        <v>-108.74679999999999</v>
      </c>
      <c r="AX171" s="33">
        <v>185.54939999999999</v>
      </c>
      <c r="AY171" s="33">
        <v>430.12790000000001</v>
      </c>
      <c r="AZ171" s="33">
        <v>559.45389999999998</v>
      </c>
      <c r="BA171" s="33">
        <v>538.87469999999996</v>
      </c>
      <c r="BB171" s="33">
        <v>373.90440000000001</v>
      </c>
      <c r="BC171" s="33">
        <v>108.74679999999999</v>
      </c>
      <c r="BD171" s="33">
        <v>-185.54939999999999</v>
      </c>
      <c r="BE171" s="33">
        <v>-430.12790000000001</v>
      </c>
      <c r="BF171" s="33">
        <v>-559.45389999999998</v>
      </c>
    </row>
    <row r="172" spans="1:58" ht="15.5" x14ac:dyDescent="0.35">
      <c r="A172" s="34"/>
      <c r="B172" s="33" t="s">
        <v>78</v>
      </c>
      <c r="C172" s="33">
        <v>-19644.607800000002</v>
      </c>
      <c r="D172" s="33">
        <v>-13437.7032</v>
      </c>
      <c r="E172" s="33">
        <v>-3630.1768000000002</v>
      </c>
      <c r="F172" s="33">
        <v>7150.0524999999998</v>
      </c>
      <c r="G172" s="33" t="s">
        <v>431</v>
      </c>
      <c r="H172" s="33">
        <v>20587.755700000002</v>
      </c>
      <c r="I172" s="33">
        <v>19644.607800000002</v>
      </c>
      <c r="J172" s="33">
        <v>13437.7032</v>
      </c>
      <c r="K172" s="33">
        <v>3630.1768000000002</v>
      </c>
      <c r="L172" s="33">
        <v>-7150.0524999999998</v>
      </c>
      <c r="M172" s="33" t="s">
        <v>430</v>
      </c>
      <c r="N172" s="33">
        <v>-20587.755700000002</v>
      </c>
      <c r="O172" s="4"/>
      <c r="P172" s="33">
        <v>20</v>
      </c>
      <c r="Q172" s="33">
        <v>-3476.0273000000002</v>
      </c>
      <c r="R172" s="33">
        <v>-2377.7426999999998</v>
      </c>
      <c r="S172" s="33">
        <v>-642.34389999999996</v>
      </c>
      <c r="T172" s="33" t="s">
        <v>437</v>
      </c>
      <c r="U172" s="33" t="s">
        <v>436</v>
      </c>
      <c r="V172" s="33" t="s">
        <v>435</v>
      </c>
      <c r="W172" s="33" t="s">
        <v>434</v>
      </c>
      <c r="X172" s="33" t="s">
        <v>433</v>
      </c>
      <c r="Y172" s="33" t="s">
        <v>432</v>
      </c>
      <c r="Z172" s="33">
        <v>-1265.1704999999999</v>
      </c>
      <c r="AA172" s="33">
        <v>-2833.6833999999999</v>
      </c>
      <c r="AB172" s="33">
        <v>-3642.9132</v>
      </c>
      <c r="AE172" s="33" t="s">
        <v>78</v>
      </c>
      <c r="AF172" s="33">
        <v>-2777.7013000000002</v>
      </c>
      <c r="AG172" s="33">
        <v>-1900.0596</v>
      </c>
      <c r="AH172" s="33">
        <v>-513.29849999999999</v>
      </c>
      <c r="AI172" s="33">
        <v>1011.0006</v>
      </c>
      <c r="AJ172" s="33">
        <v>2264.4029</v>
      </c>
      <c r="AK172" s="33">
        <v>2911.0601999999999</v>
      </c>
      <c r="AL172" s="33">
        <v>2777.7013000000002</v>
      </c>
      <c r="AM172" s="33">
        <v>1900.0596</v>
      </c>
      <c r="AN172" s="33">
        <v>513.29849999999999</v>
      </c>
      <c r="AO172" s="33">
        <v>-1011.0006</v>
      </c>
      <c r="AP172" s="33">
        <v>-2264.4029</v>
      </c>
      <c r="AQ172" s="33">
        <v>-2911.0601999999999</v>
      </c>
      <c r="AR172" s="4"/>
      <c r="AS172" s="4"/>
      <c r="AT172" s="33" t="s">
        <v>78</v>
      </c>
      <c r="AU172" s="33">
        <v>-535.55430000000001</v>
      </c>
      <c r="AV172" s="33">
        <v>-366.34070000000003</v>
      </c>
      <c r="AW172" s="33">
        <v>-98.966399999999993</v>
      </c>
      <c r="AX172" s="33">
        <v>194.92580000000001</v>
      </c>
      <c r="AY172" s="33">
        <v>436.58789999999999</v>
      </c>
      <c r="AZ172" s="33">
        <v>561.26660000000004</v>
      </c>
      <c r="BA172" s="33">
        <v>535.55430000000001</v>
      </c>
      <c r="BB172" s="33">
        <v>366.34070000000003</v>
      </c>
      <c r="BC172" s="33">
        <v>98.966399999999993</v>
      </c>
      <c r="BD172" s="33">
        <v>-194.92580000000001</v>
      </c>
      <c r="BE172" s="33">
        <v>-436.58789999999999</v>
      </c>
      <c r="BF172" s="33">
        <v>-561.26660000000004</v>
      </c>
    </row>
    <row r="173" spans="1:58" ht="15.5" x14ac:dyDescent="0.35">
      <c r="A173" s="34"/>
      <c r="B173" s="33" t="s">
        <v>79</v>
      </c>
      <c r="C173" s="33">
        <v>-19516.8302</v>
      </c>
      <c r="D173" s="33">
        <v>-13156.1662</v>
      </c>
      <c r="E173" s="33" t="s">
        <v>420</v>
      </c>
      <c r="F173" s="33">
        <v>7491.8091999999997</v>
      </c>
      <c r="G173" s="33">
        <v>16246.512199999999</v>
      </c>
      <c r="H173" s="33">
        <v>20647.975399999999</v>
      </c>
      <c r="I173" s="33">
        <v>19516.8302</v>
      </c>
      <c r="J173" s="33">
        <v>13156.1662</v>
      </c>
      <c r="K173" s="33" t="s">
        <v>419</v>
      </c>
      <c r="L173" s="33">
        <v>-7491.8091999999997</v>
      </c>
      <c r="M173" s="33">
        <v>-16246.512199999999</v>
      </c>
      <c r="N173" s="33">
        <v>-20647.975399999999</v>
      </c>
      <c r="O173" s="4"/>
      <c r="P173" s="33">
        <v>21</v>
      </c>
      <c r="Q173" s="33">
        <v>-3453.4176000000002</v>
      </c>
      <c r="R173" s="33">
        <v>-2327.9259999999999</v>
      </c>
      <c r="S173" s="33">
        <v>-578.66849999999999</v>
      </c>
      <c r="T173" s="33" t="s">
        <v>426</v>
      </c>
      <c r="U173" s="33" t="s">
        <v>425</v>
      </c>
      <c r="V173" s="33" t="s">
        <v>424</v>
      </c>
      <c r="W173" s="33" t="s">
        <v>423</v>
      </c>
      <c r="X173" s="33" t="s">
        <v>422</v>
      </c>
      <c r="Y173" s="33" t="s">
        <v>421</v>
      </c>
      <c r="Z173" s="33">
        <v>-1325.6428000000001</v>
      </c>
      <c r="AA173" s="33">
        <v>-2874.7492000000002</v>
      </c>
      <c r="AB173" s="33">
        <v>-3653.5688</v>
      </c>
      <c r="AE173" s="33" t="s">
        <v>79</v>
      </c>
      <c r="AF173" s="33">
        <v>-2759.6338999999998</v>
      </c>
      <c r="AG173" s="33">
        <v>-1860.2509</v>
      </c>
      <c r="AH173" s="33">
        <v>-462.4153</v>
      </c>
      <c r="AI173" s="33">
        <v>1059.3242</v>
      </c>
      <c r="AJ173" s="33">
        <v>2297.2186000000002</v>
      </c>
      <c r="AK173" s="33">
        <v>2919.5751</v>
      </c>
      <c r="AL173" s="33">
        <v>2759.6338999999998</v>
      </c>
      <c r="AM173" s="33">
        <v>1860.2509</v>
      </c>
      <c r="AN173" s="33">
        <v>462.4153</v>
      </c>
      <c r="AO173" s="33">
        <v>-1059.3242</v>
      </c>
      <c r="AP173" s="33">
        <v>-2297.2186000000002</v>
      </c>
      <c r="AQ173" s="33">
        <v>-2919.5751</v>
      </c>
      <c r="AR173" s="4"/>
      <c r="AS173" s="4"/>
      <c r="AT173" s="33" t="s">
        <v>79</v>
      </c>
      <c r="AU173" s="33">
        <v>-532.07079999999996</v>
      </c>
      <c r="AV173" s="33">
        <v>-358.66539999999998</v>
      </c>
      <c r="AW173" s="33">
        <v>-89.155900000000003</v>
      </c>
      <c r="AX173" s="33">
        <v>204.24289999999999</v>
      </c>
      <c r="AY173" s="33">
        <v>442.91489999999999</v>
      </c>
      <c r="AZ173" s="33">
        <v>562.90830000000005</v>
      </c>
      <c r="BA173" s="33">
        <v>532.07079999999996</v>
      </c>
      <c r="BB173" s="33">
        <v>358.66539999999998</v>
      </c>
      <c r="BC173" s="33">
        <v>89.155900000000003</v>
      </c>
      <c r="BD173" s="33">
        <v>-204.24289999999999</v>
      </c>
      <c r="BE173" s="33">
        <v>-442.91489999999999</v>
      </c>
      <c r="BF173" s="33">
        <v>-562.90830000000005</v>
      </c>
    </row>
    <row r="174" spans="1:58" ht="15.5" x14ac:dyDescent="0.35">
      <c r="A174" s="34"/>
      <c r="B174" s="33" t="s">
        <v>80</v>
      </c>
      <c r="C174" s="33">
        <v>-19383.107599999999</v>
      </c>
      <c r="D174" s="33">
        <v>-12870.6217</v>
      </c>
      <c r="E174" s="33">
        <v>-2909.4630999999999</v>
      </c>
      <c r="F174" s="33">
        <v>7831.2838000000002</v>
      </c>
      <c r="G174" s="33">
        <v>16473.644499999999</v>
      </c>
      <c r="H174" s="33">
        <v>20701.905500000001</v>
      </c>
      <c r="I174" s="33">
        <v>19383.107599999999</v>
      </c>
      <c r="J174" s="33">
        <v>12870.6217</v>
      </c>
      <c r="K174" s="33">
        <v>2909.4630999999999</v>
      </c>
      <c r="L174" s="33">
        <v>-7831.2838000000002</v>
      </c>
      <c r="M174" s="33">
        <v>-16473.644499999999</v>
      </c>
      <c r="N174" s="33">
        <v>-20701.905500000001</v>
      </c>
      <c r="O174" s="4"/>
      <c r="P174" s="33">
        <v>22</v>
      </c>
      <c r="Q174" s="33" t="s">
        <v>414</v>
      </c>
      <c r="R174" s="33">
        <v>-2277.4000999999998</v>
      </c>
      <c r="S174" s="33">
        <v>-514.81669999999997</v>
      </c>
      <c r="T174" s="33" t="s">
        <v>413</v>
      </c>
      <c r="U174" s="33" t="s">
        <v>412</v>
      </c>
      <c r="V174" s="33" t="s">
        <v>411</v>
      </c>
      <c r="W174" s="33" t="s">
        <v>410</v>
      </c>
      <c r="X174" s="33" t="s">
        <v>409</v>
      </c>
      <c r="Y174" s="33" t="s">
        <v>408</v>
      </c>
      <c r="Z174" s="33">
        <v>-1385.7113999999999</v>
      </c>
      <c r="AA174" s="33">
        <v>-2914.9391999999998</v>
      </c>
      <c r="AB174" s="33">
        <v>-3663.1115</v>
      </c>
      <c r="AE174" s="33" t="s">
        <v>80</v>
      </c>
      <c r="AF174" s="33">
        <v>-2740.7258000000002</v>
      </c>
      <c r="AG174" s="33">
        <v>-1819.8756000000001</v>
      </c>
      <c r="AH174" s="33">
        <v>-411.39120000000003</v>
      </c>
      <c r="AI174" s="33">
        <v>1107.3251</v>
      </c>
      <c r="AJ174" s="33">
        <v>2329.3346000000001</v>
      </c>
      <c r="AK174" s="33">
        <v>2927.2006999999999</v>
      </c>
      <c r="AL174" s="33">
        <v>2740.7258000000002</v>
      </c>
      <c r="AM174" s="33">
        <v>1819.8756000000001</v>
      </c>
      <c r="AN174" s="33">
        <v>411.39120000000003</v>
      </c>
      <c r="AO174" s="33">
        <v>-1107.3251</v>
      </c>
      <c r="AP174" s="33">
        <v>-2329.3346000000001</v>
      </c>
      <c r="AQ174" s="33">
        <v>-2927.2006999999999</v>
      </c>
      <c r="AR174" s="4"/>
      <c r="AS174" s="4"/>
      <c r="AT174" s="33" t="s">
        <v>80</v>
      </c>
      <c r="AU174" s="33">
        <v>-528.42529999999999</v>
      </c>
      <c r="AV174" s="33">
        <v>-350.8809</v>
      </c>
      <c r="AW174" s="33">
        <v>-79.318200000000004</v>
      </c>
      <c r="AX174" s="33">
        <v>213.49770000000001</v>
      </c>
      <c r="AY174" s="33" t="s">
        <v>429</v>
      </c>
      <c r="AZ174" s="33">
        <v>564.37850000000003</v>
      </c>
      <c r="BA174" s="33">
        <v>528.42529999999999</v>
      </c>
      <c r="BB174" s="33">
        <v>350.8809</v>
      </c>
      <c r="BC174" s="33">
        <v>79.318200000000004</v>
      </c>
      <c r="BD174" s="33">
        <v>-213.49770000000001</v>
      </c>
      <c r="BE174" s="33" t="s">
        <v>428</v>
      </c>
      <c r="BF174" s="33">
        <v>-564.37850000000003</v>
      </c>
    </row>
    <row r="175" spans="1:58" ht="15.5" x14ac:dyDescent="0.35">
      <c r="A175" s="34"/>
      <c r="B175" s="33" t="s">
        <v>81</v>
      </c>
      <c r="C175" s="33">
        <v>-19243.4807</v>
      </c>
      <c r="D175" s="33">
        <v>-12581.1567</v>
      </c>
      <c r="E175" s="33">
        <v>-2547.7219</v>
      </c>
      <c r="F175" s="33" t="s">
        <v>398</v>
      </c>
      <c r="G175" s="33">
        <v>16695.758900000001</v>
      </c>
      <c r="H175" s="33">
        <v>20749.529699999999</v>
      </c>
      <c r="I175" s="33">
        <v>19243.4807</v>
      </c>
      <c r="J175" s="33">
        <v>12581.1567</v>
      </c>
      <c r="K175" s="33">
        <v>2547.7219</v>
      </c>
      <c r="L175" s="33" t="s">
        <v>397</v>
      </c>
      <c r="M175" s="33">
        <v>-16695.758900000001</v>
      </c>
      <c r="N175" s="33">
        <v>-20749.529699999999</v>
      </c>
      <c r="O175" s="4"/>
      <c r="P175" s="33">
        <v>23</v>
      </c>
      <c r="Q175" s="33">
        <v>-3405.0495999999998</v>
      </c>
      <c r="R175" s="33">
        <v>-2226.1806000000001</v>
      </c>
      <c r="S175" s="33" t="s">
        <v>405</v>
      </c>
      <c r="T175" s="33" t="s">
        <v>404</v>
      </c>
      <c r="U175" s="33" t="s">
        <v>403</v>
      </c>
      <c r="V175" s="33" t="s">
        <v>402</v>
      </c>
      <c r="W175" s="33" t="s">
        <v>401</v>
      </c>
      <c r="X175" s="33" t="s">
        <v>400</v>
      </c>
      <c r="Y175" s="33" t="s">
        <v>399</v>
      </c>
      <c r="Z175" s="33">
        <v>-1445.3578</v>
      </c>
      <c r="AA175" s="33">
        <v>-2954.2413999999999</v>
      </c>
      <c r="AB175" s="33">
        <v>-3671.5383999999999</v>
      </c>
      <c r="AE175" s="33" t="s">
        <v>81</v>
      </c>
      <c r="AF175" s="33">
        <v>-2720.9829</v>
      </c>
      <c r="AG175" s="33" t="s">
        <v>418</v>
      </c>
      <c r="AH175" s="33">
        <v>-360.24189999999999</v>
      </c>
      <c r="AI175" s="33">
        <v>1154.9887000000001</v>
      </c>
      <c r="AJ175" s="33" t="s">
        <v>417</v>
      </c>
      <c r="AK175" s="33">
        <v>2933.9346999999998</v>
      </c>
      <c r="AL175" s="33">
        <v>2720.9829</v>
      </c>
      <c r="AM175" s="33" t="s">
        <v>416</v>
      </c>
      <c r="AN175" s="33">
        <v>360.24189999999999</v>
      </c>
      <c r="AO175" s="33">
        <v>-1154.9887000000001</v>
      </c>
      <c r="AP175" s="33" t="s">
        <v>415</v>
      </c>
      <c r="AQ175" s="33">
        <v>-2933.9346999999998</v>
      </c>
      <c r="AR175" s="4"/>
      <c r="AS175" s="4"/>
      <c r="AT175" s="33" t="s">
        <v>81</v>
      </c>
      <c r="AU175" s="33">
        <v>-524.61869999999999</v>
      </c>
      <c r="AV175" s="33">
        <v>-342.98939999999999</v>
      </c>
      <c r="AW175" s="33">
        <v>-69.456400000000002</v>
      </c>
      <c r="AX175" s="33">
        <v>222.6874</v>
      </c>
      <c r="AY175" s="33">
        <v>455.16230000000002</v>
      </c>
      <c r="AZ175" s="33">
        <v>565.67690000000005</v>
      </c>
      <c r="BA175" s="33">
        <v>524.61869999999999</v>
      </c>
      <c r="BB175" s="33">
        <v>342.98939999999999</v>
      </c>
      <c r="BC175" s="33">
        <v>69.456400000000002</v>
      </c>
      <c r="BD175" s="33">
        <v>-222.6874</v>
      </c>
      <c r="BE175" s="33">
        <v>-455.16230000000002</v>
      </c>
      <c r="BF175" s="33">
        <v>-565.67690000000005</v>
      </c>
    </row>
    <row r="176" spans="1:58" ht="15.5" x14ac:dyDescent="0.35">
      <c r="A176" s="34"/>
      <c r="B176" s="33" t="s">
        <v>82</v>
      </c>
      <c r="C176" s="33">
        <v>-19097.992099999999</v>
      </c>
      <c r="D176" s="33">
        <v>-12287.859399999999</v>
      </c>
      <c r="E176" s="33">
        <v>-2185.2046</v>
      </c>
      <c r="F176" s="33">
        <v>8502.9739000000009</v>
      </c>
      <c r="G176" s="33">
        <v>16912.787499999999</v>
      </c>
      <c r="H176" s="33">
        <v>20790.833299999998</v>
      </c>
      <c r="I176" s="33">
        <v>19097.992099999999</v>
      </c>
      <c r="J176" s="33">
        <v>12287.859399999999</v>
      </c>
      <c r="K176" s="33">
        <v>2185.2046</v>
      </c>
      <c r="L176" s="33">
        <v>-8502.9739000000009</v>
      </c>
      <c r="M176" s="33">
        <v>-16912.787499999999</v>
      </c>
      <c r="N176" s="33">
        <v>-20790.833299999998</v>
      </c>
      <c r="O176" s="4"/>
      <c r="P176" s="33">
        <v>24</v>
      </c>
      <c r="Q176" s="33">
        <v>-3379.3060999999998</v>
      </c>
      <c r="R176" s="33">
        <v>-2174.2829000000002</v>
      </c>
      <c r="S176" s="33">
        <v>-386.66239999999999</v>
      </c>
      <c r="T176" s="33" t="s">
        <v>396</v>
      </c>
      <c r="U176" s="33" t="s">
        <v>395</v>
      </c>
      <c r="V176" s="33" t="s">
        <v>394</v>
      </c>
      <c r="W176" s="33" t="s">
        <v>393</v>
      </c>
      <c r="X176" s="33" t="s">
        <v>392</v>
      </c>
      <c r="Y176" s="33" t="s">
        <v>391</v>
      </c>
      <c r="Z176" s="33" t="s">
        <v>390</v>
      </c>
      <c r="AA176" s="33">
        <v>-2992.6437000000001</v>
      </c>
      <c r="AB176" s="33">
        <v>-3678.8469</v>
      </c>
      <c r="AE176" s="33" t="s">
        <v>82</v>
      </c>
      <c r="AF176" s="33">
        <v>-2700.4110999999998</v>
      </c>
      <c r="AG176" s="33">
        <v>-1737.4744000000001</v>
      </c>
      <c r="AH176" s="33">
        <v>-308.9828</v>
      </c>
      <c r="AI176" s="33">
        <v>1202.3005000000001</v>
      </c>
      <c r="AJ176" s="33">
        <v>2391.4283</v>
      </c>
      <c r="AK176" s="33">
        <v>2939.7748999999999</v>
      </c>
      <c r="AL176" s="33">
        <v>2700.4110999999998</v>
      </c>
      <c r="AM176" s="33">
        <v>1737.4744000000001</v>
      </c>
      <c r="AN176" s="33">
        <v>308.9828</v>
      </c>
      <c r="AO176" s="33">
        <v>-1202.3005000000001</v>
      </c>
      <c r="AP176" s="33">
        <v>-2391.4283</v>
      </c>
      <c r="AQ176" s="33">
        <v>-2939.7748999999999</v>
      </c>
      <c r="AR176" s="4"/>
      <c r="AS176" s="4"/>
      <c r="AT176" s="33" t="s">
        <v>82</v>
      </c>
      <c r="AU176" s="33">
        <v>-520.65239999999994</v>
      </c>
      <c r="AV176" s="33">
        <v>-334.99349999999998</v>
      </c>
      <c r="AW176" s="33">
        <v>-59.573399999999999</v>
      </c>
      <c r="AX176" s="33">
        <v>231.80940000000001</v>
      </c>
      <c r="AY176" s="33" t="s">
        <v>407</v>
      </c>
      <c r="AZ176" s="33">
        <v>566.80290000000002</v>
      </c>
      <c r="BA176" s="33">
        <v>520.65239999999994</v>
      </c>
      <c r="BB176" s="33">
        <v>334.99349999999998</v>
      </c>
      <c r="BC176" s="33">
        <v>59.573399999999999</v>
      </c>
      <c r="BD176" s="33">
        <v>-231.80940000000001</v>
      </c>
      <c r="BE176" s="33" t="s">
        <v>406</v>
      </c>
      <c r="BF176" s="33">
        <v>-566.80290000000002</v>
      </c>
    </row>
    <row r="177" spans="1:58" ht="15.5" x14ac:dyDescent="0.35">
      <c r="A177" s="34"/>
      <c r="B177" s="33" t="s">
        <v>83</v>
      </c>
      <c r="C177" s="33" t="s">
        <v>381</v>
      </c>
      <c r="D177" s="33" t="s">
        <v>380</v>
      </c>
      <c r="E177" s="33">
        <v>-1822.0217</v>
      </c>
      <c r="F177" s="33">
        <v>8834.9848000000002</v>
      </c>
      <c r="G177" s="33">
        <v>17124.6643</v>
      </c>
      <c r="H177" s="33">
        <v>20825.803800000002</v>
      </c>
      <c r="I177" s="33" t="s">
        <v>379</v>
      </c>
      <c r="J177" s="33" t="s">
        <v>378</v>
      </c>
      <c r="K177" s="33">
        <v>1822.0217</v>
      </c>
      <c r="L177" s="33">
        <v>-8834.9848000000002</v>
      </c>
      <c r="M177" s="33">
        <v>-17124.6643</v>
      </c>
      <c r="N177" s="33">
        <v>-20825.803800000002</v>
      </c>
      <c r="O177" s="4"/>
      <c r="P177" s="33">
        <v>25</v>
      </c>
      <c r="Q177" s="33">
        <v>-3352.5331000000001</v>
      </c>
      <c r="R177" s="33">
        <v>-2121.7229000000002</v>
      </c>
      <c r="S177" s="33">
        <v>-322.39879999999999</v>
      </c>
      <c r="T177" s="33" t="s">
        <v>387</v>
      </c>
      <c r="U177" s="33" t="s">
        <v>386</v>
      </c>
      <c r="V177" s="33" t="s">
        <v>385</v>
      </c>
      <c r="W177" s="33" t="s">
        <v>384</v>
      </c>
      <c r="X177" s="33" t="s">
        <v>383</v>
      </c>
      <c r="Y177" s="33" t="s">
        <v>382</v>
      </c>
      <c r="Z177" s="33">
        <v>-1563.3118999999999</v>
      </c>
      <c r="AA177" s="33">
        <v>-3030.1343000000002</v>
      </c>
      <c r="AB177" s="33">
        <v>-3685.0347999999999</v>
      </c>
      <c r="AE177" s="33" t="s">
        <v>83</v>
      </c>
      <c r="AF177" s="33">
        <v>-2679.0167999999999</v>
      </c>
      <c r="AG177" s="33">
        <v>-1695.4736</v>
      </c>
      <c r="AH177" s="33">
        <v>-257.62959999999998</v>
      </c>
      <c r="AI177" s="33">
        <v>1249.2461000000001</v>
      </c>
      <c r="AJ177" s="33">
        <v>2421.3872000000001</v>
      </c>
      <c r="AK177" s="33">
        <v>2944.7195999999999</v>
      </c>
      <c r="AL177" s="33">
        <v>2679.0167999999999</v>
      </c>
      <c r="AM177" s="33">
        <v>1695.4736</v>
      </c>
      <c r="AN177" s="33">
        <v>257.62959999999998</v>
      </c>
      <c r="AO177" s="33">
        <v>-1249.2461000000001</v>
      </c>
      <c r="AP177" s="33">
        <v>-2421.3872000000001</v>
      </c>
      <c r="AQ177" s="33">
        <v>-2944.7195999999999</v>
      </c>
      <c r="AR177" s="4"/>
      <c r="AS177" s="4"/>
      <c r="AT177" s="33" t="s">
        <v>83</v>
      </c>
      <c r="AU177" s="33">
        <v>-516.52750000000003</v>
      </c>
      <c r="AV177" s="33">
        <v>-326.8956</v>
      </c>
      <c r="AW177" s="33">
        <v>-49.672199999999997</v>
      </c>
      <c r="AX177" s="33">
        <v>240.86070000000001</v>
      </c>
      <c r="AY177" s="33">
        <v>466.85520000000002</v>
      </c>
      <c r="AZ177" s="33">
        <v>567.75630000000001</v>
      </c>
      <c r="BA177" s="33">
        <v>516.52750000000003</v>
      </c>
      <c r="BB177" s="33">
        <v>326.8956</v>
      </c>
      <c r="BC177" s="33">
        <v>49.672199999999997</v>
      </c>
      <c r="BD177" s="33">
        <v>-240.86070000000001</v>
      </c>
      <c r="BE177" s="33">
        <v>-466.85520000000002</v>
      </c>
      <c r="BF177" s="33">
        <v>-567.75630000000001</v>
      </c>
    </row>
    <row r="178" spans="1:58" ht="15.5" x14ac:dyDescent="0.35">
      <c r="A178" s="34"/>
      <c r="B178" s="33" t="s">
        <v>84</v>
      </c>
      <c r="C178" s="33">
        <v>-18789.608700000001</v>
      </c>
      <c r="D178" s="33">
        <v>-11690.126200000001</v>
      </c>
      <c r="E178" s="33">
        <v>-1458.2837999999999</v>
      </c>
      <c r="F178" s="33">
        <v>9164.3044000000009</v>
      </c>
      <c r="G178" s="33">
        <v>17331.324799999999</v>
      </c>
      <c r="H178" s="33">
        <v>20854.4306</v>
      </c>
      <c r="I178" s="33">
        <v>18789.608700000001</v>
      </c>
      <c r="J178" s="33">
        <v>11690.126200000001</v>
      </c>
      <c r="K178" s="33">
        <v>1458.2837999999999</v>
      </c>
      <c r="L178" s="33">
        <v>-9164.3044000000009</v>
      </c>
      <c r="M178" s="33">
        <v>-17331.324799999999</v>
      </c>
      <c r="N178" s="33">
        <v>-20854.4306</v>
      </c>
      <c r="O178" s="4"/>
      <c r="P178" s="33">
        <v>26</v>
      </c>
      <c r="Q178" s="33">
        <v>-3324.7388999999998</v>
      </c>
      <c r="R178" s="33">
        <v>-2068.5165999999999</v>
      </c>
      <c r="S178" s="33">
        <v>-258.0369</v>
      </c>
      <c r="T178" s="33" t="s">
        <v>377</v>
      </c>
      <c r="U178" s="33" t="s">
        <v>376</v>
      </c>
      <c r="V178" s="33" t="s">
        <v>375</v>
      </c>
      <c r="W178" s="33" t="s">
        <v>374</v>
      </c>
      <c r="X178" s="33" t="s">
        <v>373</v>
      </c>
      <c r="Y178" s="33" t="s">
        <v>372</v>
      </c>
      <c r="Z178" s="33">
        <v>-1621.5835</v>
      </c>
      <c r="AA178" s="33" t="s">
        <v>371</v>
      </c>
      <c r="AB178" s="33">
        <v>-3690.1001999999999</v>
      </c>
      <c r="AE178" s="33" t="s">
        <v>84</v>
      </c>
      <c r="AF178" s="33">
        <v>-2656.8063999999999</v>
      </c>
      <c r="AG178" s="33">
        <v>-1652.9563000000001</v>
      </c>
      <c r="AH178" s="33">
        <v>-206.1979</v>
      </c>
      <c r="AI178" s="33">
        <v>1295.8110999999999</v>
      </c>
      <c r="AJ178" s="33">
        <v>2450.6084999999998</v>
      </c>
      <c r="AK178" s="33">
        <v>2948.7674000000002</v>
      </c>
      <c r="AL178" s="33">
        <v>2656.8063999999999</v>
      </c>
      <c r="AM178" s="33">
        <v>1652.9563000000001</v>
      </c>
      <c r="AN178" s="33">
        <v>206.1979</v>
      </c>
      <c r="AO178" s="33">
        <v>-1295.8110999999999</v>
      </c>
      <c r="AP178" s="33">
        <v>-2450.6084999999998</v>
      </c>
      <c r="AQ178" s="33">
        <v>-2948.7674000000002</v>
      </c>
      <c r="AR178" s="4"/>
      <c r="AS178" s="4"/>
      <c r="AT178" s="33" t="s">
        <v>84</v>
      </c>
      <c r="AU178" s="33">
        <v>-512.24519999999995</v>
      </c>
      <c r="AV178" s="33" t="s">
        <v>482</v>
      </c>
      <c r="AW178" s="33" t="s">
        <v>389</v>
      </c>
      <c r="AX178" s="33">
        <v>249.83869999999999</v>
      </c>
      <c r="AY178" s="33">
        <v>472.48919999999998</v>
      </c>
      <c r="AZ178" s="33">
        <v>568.5367</v>
      </c>
      <c r="BA178" s="33">
        <v>512.24519999999995</v>
      </c>
      <c r="BB178" s="33" t="s">
        <v>483</v>
      </c>
      <c r="BC178" s="33" t="s">
        <v>388</v>
      </c>
      <c r="BD178" s="33">
        <v>-249.83869999999999</v>
      </c>
      <c r="BE178" s="33">
        <v>-472.48919999999998</v>
      </c>
      <c r="BF178" s="33">
        <v>-568.5367</v>
      </c>
    </row>
    <row r="179" spans="1:58" ht="15.5" x14ac:dyDescent="0.35">
      <c r="A179" s="4"/>
      <c r="B179" s="33" t="s">
        <v>86</v>
      </c>
      <c r="C179" s="33">
        <v>-18626.807700000001</v>
      </c>
      <c r="D179" s="33">
        <v>-11385.8724</v>
      </c>
      <c r="E179" s="33">
        <v>-1094.1016999999999</v>
      </c>
      <c r="F179" s="33">
        <v>9490.8325999999997</v>
      </c>
      <c r="G179" s="33" t="s">
        <v>361</v>
      </c>
      <c r="H179" s="33">
        <v>20876.704900000001</v>
      </c>
      <c r="I179" s="33">
        <v>18626.807700000001</v>
      </c>
      <c r="J179" s="33">
        <v>11385.8724</v>
      </c>
      <c r="K179" s="33">
        <v>1094.1016999999999</v>
      </c>
      <c r="L179" s="33">
        <v>-9490.8325999999997</v>
      </c>
      <c r="M179" s="33" t="s">
        <v>360</v>
      </c>
      <c r="N179" s="33">
        <v>-20876.704900000001</v>
      </c>
      <c r="O179" s="4"/>
      <c r="P179" s="33">
        <v>27</v>
      </c>
      <c r="Q179" s="33" t="s">
        <v>368</v>
      </c>
      <c r="R179" s="33">
        <v>-2014.6802</v>
      </c>
      <c r="S179" s="33" t="s">
        <v>481</v>
      </c>
      <c r="T179" s="33" t="s">
        <v>367</v>
      </c>
      <c r="U179" s="33" t="s">
        <v>366</v>
      </c>
      <c r="V179" s="33" t="s">
        <v>365</v>
      </c>
      <c r="W179" s="33" t="s">
        <v>364</v>
      </c>
      <c r="X179" s="33" t="s">
        <v>363</v>
      </c>
      <c r="Y179" s="33" t="s">
        <v>362</v>
      </c>
      <c r="Z179" s="33">
        <v>-1679.3613</v>
      </c>
      <c r="AA179" s="33">
        <v>-3102.3355000000001</v>
      </c>
      <c r="AB179" s="33">
        <v>-3694.0414999999998</v>
      </c>
      <c r="AE179" s="33" t="s">
        <v>86</v>
      </c>
      <c r="AF179" s="33">
        <v>-2633.7867999999999</v>
      </c>
      <c r="AG179" s="33">
        <v>-1609.9365</v>
      </c>
      <c r="AH179" s="33">
        <v>-154.70339999999999</v>
      </c>
      <c r="AI179" s="33">
        <v>1341.9813999999999</v>
      </c>
      <c r="AJ179" s="33">
        <v>2479.0834</v>
      </c>
      <c r="AK179" s="33">
        <v>2951.9169000000002</v>
      </c>
      <c r="AL179" s="33">
        <v>2633.7867999999999</v>
      </c>
      <c r="AM179" s="33">
        <v>1609.9365</v>
      </c>
      <c r="AN179" s="33">
        <v>154.70339999999999</v>
      </c>
      <c r="AO179" s="33">
        <v>-1341.9813999999999</v>
      </c>
      <c r="AP179" s="33">
        <v>-2479.0834</v>
      </c>
      <c r="AQ179" s="33">
        <v>-2951.9169000000002</v>
      </c>
      <c r="AR179" s="4"/>
      <c r="AS179" s="4"/>
      <c r="AT179" s="33" t="s">
        <v>86</v>
      </c>
      <c r="AU179" s="33">
        <v>-507.80689999999998</v>
      </c>
      <c r="AV179" s="33">
        <v>-310.40339999999998</v>
      </c>
      <c r="AW179" s="33">
        <v>-29.8276</v>
      </c>
      <c r="AX179" s="33">
        <v>258.7405</v>
      </c>
      <c r="AY179" s="33">
        <v>477.97930000000002</v>
      </c>
      <c r="AZ179" s="33">
        <v>569.14390000000003</v>
      </c>
      <c r="BA179" s="33">
        <v>507.80689999999998</v>
      </c>
      <c r="BB179" s="33">
        <v>310.40339999999998</v>
      </c>
      <c r="BC179" s="33">
        <v>29.8276</v>
      </c>
      <c r="BD179" s="33">
        <v>-258.7405</v>
      </c>
      <c r="BE179" s="33">
        <v>-477.97930000000002</v>
      </c>
      <c r="BF179" s="33">
        <v>-569.14390000000003</v>
      </c>
    </row>
    <row r="180" spans="1:58" ht="15.5" x14ac:dyDescent="0.35">
      <c r="A180" s="4"/>
      <c r="B180" s="33" t="s">
        <v>87</v>
      </c>
      <c r="C180" s="33">
        <v>-18458.332900000001</v>
      </c>
      <c r="D180" s="33">
        <v>-11078.150299999999</v>
      </c>
      <c r="E180" s="33">
        <v>-729.58640000000003</v>
      </c>
      <c r="F180" s="33">
        <v>9814.4696999999996</v>
      </c>
      <c r="G180" s="33">
        <v>17728.746500000001</v>
      </c>
      <c r="H180" s="33" t="s">
        <v>353</v>
      </c>
      <c r="I180" s="33">
        <v>18458.332900000001</v>
      </c>
      <c r="J180" s="33">
        <v>11078.150299999999</v>
      </c>
      <c r="K180" s="33">
        <v>729.58640000000003</v>
      </c>
      <c r="L180" s="33">
        <v>-9814.4696999999996</v>
      </c>
      <c r="M180" s="33">
        <v>-17728.746500000001</v>
      </c>
      <c r="N180" s="33" t="s">
        <v>352</v>
      </c>
      <c r="O180" s="4"/>
      <c r="P180" s="33">
        <v>28</v>
      </c>
      <c r="Q180" s="33">
        <v>-3266.1212</v>
      </c>
      <c r="R180" s="33">
        <v>-1960.2302</v>
      </c>
      <c r="S180" s="33">
        <v>-129.09710000000001</v>
      </c>
      <c r="T180" s="33" t="s">
        <v>359</v>
      </c>
      <c r="U180" s="33" t="s">
        <v>358</v>
      </c>
      <c r="V180" s="33" t="s">
        <v>357</v>
      </c>
      <c r="W180" s="33" t="s">
        <v>356</v>
      </c>
      <c r="X180" s="33" t="s">
        <v>355</v>
      </c>
      <c r="Y180" s="33" t="s">
        <v>354</v>
      </c>
      <c r="Z180" s="33">
        <v>-1736.6274000000001</v>
      </c>
      <c r="AA180" s="33" t="s">
        <v>484</v>
      </c>
      <c r="AB180" s="33">
        <v>-3696.8575999999998</v>
      </c>
      <c r="AE180" s="33" t="s">
        <v>87</v>
      </c>
      <c r="AF180" s="33">
        <v>-2609.9648000000002</v>
      </c>
      <c r="AG180" s="33">
        <v>-1566.4423999999999</v>
      </c>
      <c r="AH180" s="33">
        <v>-103.1618</v>
      </c>
      <c r="AI180" s="33">
        <v>1387.7429</v>
      </c>
      <c r="AJ180" s="33" t="s">
        <v>370</v>
      </c>
      <c r="AK180" s="33">
        <v>2954.1673000000001</v>
      </c>
      <c r="AL180" s="33">
        <v>2609.9648000000002</v>
      </c>
      <c r="AM180" s="33">
        <v>1566.4423999999999</v>
      </c>
      <c r="AN180" s="33">
        <v>103.1618</v>
      </c>
      <c r="AO180" s="33">
        <v>-1387.7429</v>
      </c>
      <c r="AP180" s="33" t="s">
        <v>369</v>
      </c>
      <c r="AQ180" s="33">
        <v>-2954.1673000000001</v>
      </c>
      <c r="AR180" s="4"/>
      <c r="AS180" s="4"/>
      <c r="AT180" s="33" t="s">
        <v>87</v>
      </c>
      <c r="AU180" s="33">
        <v>-503.21390000000002</v>
      </c>
      <c r="AV180" s="33">
        <v>-302.01420000000002</v>
      </c>
      <c r="AW180" s="33">
        <v>-19.8901</v>
      </c>
      <c r="AX180" s="33">
        <v>267.56360000000001</v>
      </c>
      <c r="AY180" s="33">
        <v>483.32380000000001</v>
      </c>
      <c r="AZ180" s="33">
        <v>569.57780000000002</v>
      </c>
      <c r="BA180" s="33">
        <v>503.21390000000002</v>
      </c>
      <c r="BB180" s="33">
        <v>302.01420000000002</v>
      </c>
      <c r="BC180" s="33">
        <v>19.8901</v>
      </c>
      <c r="BD180" s="33">
        <v>-267.56360000000001</v>
      </c>
      <c r="BE180" s="33">
        <v>-483.32380000000001</v>
      </c>
      <c r="BF180" s="33">
        <v>-569.57780000000002</v>
      </c>
    </row>
    <row r="181" spans="1:58" ht="15.5" x14ac:dyDescent="0.35">
      <c r="A181" s="4"/>
      <c r="B181" s="33" t="s">
        <v>88</v>
      </c>
      <c r="C181" s="33">
        <v>-18284.235499999999</v>
      </c>
      <c r="D181" s="33">
        <v>-10767.0538</v>
      </c>
      <c r="E181" s="33">
        <v>-364.84879999999998</v>
      </c>
      <c r="F181" s="33">
        <v>10135.117200000001</v>
      </c>
      <c r="G181" s="33">
        <v>17919.386699999999</v>
      </c>
      <c r="H181" s="33" t="s">
        <v>336</v>
      </c>
      <c r="I181" s="33">
        <v>18284.235499999999</v>
      </c>
      <c r="J181" s="33">
        <v>10767.0538</v>
      </c>
      <c r="K181" s="33">
        <v>364.84879999999998</v>
      </c>
      <c r="L181" s="33">
        <v>-10135.117200000001</v>
      </c>
      <c r="M181" s="33">
        <v>-17919.386699999999</v>
      </c>
      <c r="N181" s="33" t="s">
        <v>335</v>
      </c>
      <c r="O181" s="4"/>
      <c r="P181" s="33">
        <v>29</v>
      </c>
      <c r="Q181" s="33">
        <v>-3235.3154</v>
      </c>
      <c r="R181" s="33" t="s">
        <v>344</v>
      </c>
      <c r="S181" s="33">
        <v>-64.558400000000006</v>
      </c>
      <c r="T181" s="33" t="s">
        <v>343</v>
      </c>
      <c r="U181" s="33" t="s">
        <v>342</v>
      </c>
      <c r="V181" s="33" t="s">
        <v>341</v>
      </c>
      <c r="W181" s="33" t="s">
        <v>340</v>
      </c>
      <c r="X181" s="33" t="s">
        <v>339</v>
      </c>
      <c r="Y181" s="33" t="s">
        <v>338</v>
      </c>
      <c r="Z181" s="33" t="s">
        <v>485</v>
      </c>
      <c r="AA181" s="33" t="s">
        <v>337</v>
      </c>
      <c r="AB181" s="33">
        <v>-3698.5475999999999</v>
      </c>
      <c r="AE181" s="33" t="s">
        <v>88</v>
      </c>
      <c r="AF181" s="33">
        <v>-2585.3479000000002</v>
      </c>
      <c r="AG181" s="33">
        <v>-1522.4360999999999</v>
      </c>
      <c r="AH181" s="33">
        <v>-51.588799999999999</v>
      </c>
      <c r="AI181" s="33">
        <v>1433.0817</v>
      </c>
      <c r="AJ181" s="33">
        <v>2533.7591000000002</v>
      </c>
      <c r="AK181" s="33">
        <v>2955.5178000000001</v>
      </c>
      <c r="AL181" s="33">
        <v>2585.3479000000002</v>
      </c>
      <c r="AM181" s="33">
        <v>1522.4360999999999</v>
      </c>
      <c r="AN181" s="33">
        <v>51.588799999999999</v>
      </c>
      <c r="AO181" s="33">
        <v>-1433.0817</v>
      </c>
      <c r="AP181" s="33">
        <v>-2533.7591000000002</v>
      </c>
      <c r="AQ181" s="33">
        <v>-2955.5178000000001</v>
      </c>
      <c r="AR181" s="4"/>
      <c r="AS181" s="4"/>
      <c r="AT181" s="33" t="s">
        <v>88</v>
      </c>
      <c r="AU181" s="33">
        <v>-498.4676</v>
      </c>
      <c r="AV181" s="33">
        <v>-293.53309999999999</v>
      </c>
      <c r="AW181" s="33">
        <v>-9.9466000000000001</v>
      </c>
      <c r="AX181" s="33">
        <v>276.30509999999998</v>
      </c>
      <c r="AY181" s="33">
        <v>488.52109999999999</v>
      </c>
      <c r="AZ181" s="33">
        <v>569.83820000000003</v>
      </c>
      <c r="BA181" s="33">
        <v>498.4676</v>
      </c>
      <c r="BB181" s="33">
        <v>293.53309999999999</v>
      </c>
      <c r="BC181" s="33">
        <v>9.9466000000000001</v>
      </c>
      <c r="BD181" s="33">
        <v>-276.30509999999998</v>
      </c>
      <c r="BE181" s="33">
        <v>-488.52109999999999</v>
      </c>
      <c r="BF181" s="33">
        <v>-569.83820000000003</v>
      </c>
    </row>
    <row r="182" spans="1:58" ht="15.5" x14ac:dyDescent="0.35">
      <c r="A182" s="4"/>
      <c r="B182" s="33" t="s">
        <v>17</v>
      </c>
      <c r="C182" s="33">
        <v>-18104.568500000001</v>
      </c>
      <c r="D182" s="33">
        <v>-10452.6775</v>
      </c>
      <c r="E182" s="33" t="s">
        <v>22</v>
      </c>
      <c r="F182" s="33">
        <v>10452.6775</v>
      </c>
      <c r="G182" s="33">
        <v>18104.568500000001</v>
      </c>
      <c r="H182" s="33" t="s">
        <v>330</v>
      </c>
      <c r="I182" s="33" t="s">
        <v>486</v>
      </c>
      <c r="J182" s="33">
        <v>10452.6775</v>
      </c>
      <c r="K182" s="33" t="s">
        <v>22</v>
      </c>
      <c r="L182" s="33">
        <v>-10452.6775</v>
      </c>
      <c r="M182" s="33">
        <v>-18104.568500000001</v>
      </c>
      <c r="N182" s="33" t="s">
        <v>329</v>
      </c>
      <c r="O182" s="4"/>
      <c r="P182" s="33">
        <v>30</v>
      </c>
      <c r="Q182" s="33">
        <v>-3203.5241000000001</v>
      </c>
      <c r="R182" s="33">
        <v>-1849.5554999999999</v>
      </c>
      <c r="S182" s="33" t="s">
        <v>22</v>
      </c>
      <c r="T182" s="33" t="s">
        <v>332</v>
      </c>
      <c r="U182" s="33" t="s">
        <v>333</v>
      </c>
      <c r="V182" s="33" t="s">
        <v>334</v>
      </c>
      <c r="W182" s="33" t="s">
        <v>333</v>
      </c>
      <c r="X182" s="33" t="s">
        <v>332</v>
      </c>
      <c r="Y182" s="33" t="s">
        <v>22</v>
      </c>
      <c r="Z182" s="33" t="s">
        <v>487</v>
      </c>
      <c r="AA182" s="33">
        <v>-3203.5241000000001</v>
      </c>
      <c r="AB182" s="33" t="s">
        <v>331</v>
      </c>
      <c r="AE182" s="33" t="s">
        <v>17</v>
      </c>
      <c r="AF182" s="33">
        <v>-2559.9434000000001</v>
      </c>
      <c r="AG182" s="33" t="s">
        <v>346</v>
      </c>
      <c r="AH182" s="33" t="s">
        <v>22</v>
      </c>
      <c r="AI182" s="33" t="s">
        <v>347</v>
      </c>
      <c r="AJ182" s="33">
        <v>2559.9434000000001</v>
      </c>
      <c r="AK182" s="33" t="s">
        <v>348</v>
      </c>
      <c r="AL182" s="33">
        <v>2559.9434000000001</v>
      </c>
      <c r="AM182" s="33" t="s">
        <v>347</v>
      </c>
      <c r="AN182" s="33" t="s">
        <v>22</v>
      </c>
      <c r="AO182" s="33" t="s">
        <v>346</v>
      </c>
      <c r="AP182" s="33">
        <v>-2559.9434000000001</v>
      </c>
      <c r="AQ182" s="33" t="s">
        <v>345</v>
      </c>
      <c r="AR182" s="4"/>
      <c r="AS182" s="4"/>
      <c r="AT182" s="33" t="s">
        <v>17</v>
      </c>
      <c r="AU182" s="33">
        <v>-493.56950000000001</v>
      </c>
      <c r="AV182" s="33">
        <v>-284.96249999999998</v>
      </c>
      <c r="AW182" s="33" t="s">
        <v>22</v>
      </c>
      <c r="AX182" s="33">
        <v>284.96249999999998</v>
      </c>
      <c r="AY182" s="33">
        <v>493.56950000000001</v>
      </c>
      <c r="AZ182" s="33" t="s">
        <v>351</v>
      </c>
      <c r="BA182" s="33">
        <v>493.56950000000001</v>
      </c>
      <c r="BB182" s="33">
        <v>284.96249999999998</v>
      </c>
      <c r="BC182" s="33" t="s">
        <v>22</v>
      </c>
      <c r="BD182" s="33">
        <v>-284.96249999999998</v>
      </c>
      <c r="BE182" s="33">
        <v>-493.56950000000001</v>
      </c>
      <c r="BF182" s="33" t="s">
        <v>350</v>
      </c>
    </row>
    <row r="183" spans="1:58" ht="15.5" x14ac:dyDescent="0.35">
      <c r="AR183" s="4"/>
    </row>
  </sheetData>
  <mergeCells count="21">
    <mergeCell ref="Q4:AC4"/>
    <mergeCell ref="AF4:AR4"/>
    <mergeCell ref="AU4:BG4"/>
    <mergeCell ref="B4:N4"/>
    <mergeCell ref="B114:N114"/>
    <mergeCell ref="Q114:AC114"/>
    <mergeCell ref="AF114:AR114"/>
    <mergeCell ref="AU114:BG114"/>
    <mergeCell ref="Q42:AC42"/>
    <mergeCell ref="AF42:AR42"/>
    <mergeCell ref="AU42:BG42"/>
    <mergeCell ref="B42:N42"/>
    <mergeCell ref="C78:N78"/>
    <mergeCell ref="Q78:AC78"/>
    <mergeCell ref="AF78:AR78"/>
    <mergeCell ref="AU78:BG78"/>
    <mergeCell ref="B150:N150"/>
    <mergeCell ref="P150:AB150"/>
    <mergeCell ref="AE150:AQ150"/>
    <mergeCell ref="AT150:BF150"/>
    <mergeCell ref="BJ78:BV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6175-D6A3-434C-91B2-318EA4C9B65D}">
  <dimension ref="B4:F40"/>
  <sheetViews>
    <sheetView workbookViewId="0">
      <selection activeCell="B3" sqref="B3:F40"/>
    </sheetView>
  </sheetViews>
  <sheetFormatPr defaultRowHeight="14.5" x14ac:dyDescent="0.35"/>
  <cols>
    <col min="3" max="3" width="10.26953125" customWidth="1"/>
    <col min="4" max="4" width="11.7265625" customWidth="1"/>
    <col min="5" max="5" width="10.81640625" customWidth="1"/>
    <col min="6" max="6" width="12.54296875" customWidth="1"/>
  </cols>
  <sheetData>
    <row r="4" spans="2:6" x14ac:dyDescent="0.35">
      <c r="B4" s="88" t="s">
        <v>488</v>
      </c>
      <c r="C4" s="88"/>
      <c r="D4" s="88"/>
      <c r="E4" s="88"/>
      <c r="F4" s="88"/>
    </row>
    <row r="5" spans="2:6" x14ac:dyDescent="0.35">
      <c r="B5" s="88"/>
      <c r="C5" s="88"/>
      <c r="D5" s="88"/>
      <c r="E5" s="88"/>
      <c r="F5" s="88"/>
    </row>
    <row r="7" spans="2:6" x14ac:dyDescent="0.35">
      <c r="B7" s="89" t="s">
        <v>132</v>
      </c>
      <c r="C7" s="89"/>
      <c r="D7" s="89"/>
      <c r="E7" s="89"/>
      <c r="F7" s="89"/>
    </row>
    <row r="8" spans="2:6" x14ac:dyDescent="0.35">
      <c r="B8" s="90" t="s">
        <v>10</v>
      </c>
      <c r="C8" s="91" t="s">
        <v>9</v>
      </c>
      <c r="D8" s="3" t="s">
        <v>8</v>
      </c>
      <c r="E8" s="91" t="s">
        <v>7</v>
      </c>
      <c r="F8" s="91" t="s">
        <v>6</v>
      </c>
    </row>
    <row r="9" spans="2:6" x14ac:dyDescent="0.35">
      <c r="B9" s="92"/>
      <c r="C9" s="91" t="s">
        <v>5</v>
      </c>
      <c r="D9" s="91" t="s">
        <v>4</v>
      </c>
      <c r="E9" s="91" t="s">
        <v>3</v>
      </c>
      <c r="F9" s="91" t="s">
        <v>2</v>
      </c>
    </row>
    <row r="10" spans="2:6" x14ac:dyDescent="0.35">
      <c r="B10" s="91">
        <v>1</v>
      </c>
      <c r="C10" s="91">
        <v>2</v>
      </c>
      <c r="D10" s="91">
        <v>3</v>
      </c>
      <c r="E10" s="91">
        <v>4</v>
      </c>
      <c r="F10" s="91">
        <v>5</v>
      </c>
    </row>
    <row r="11" spans="2:6" x14ac:dyDescent="0.35">
      <c r="B11" s="91">
        <v>1</v>
      </c>
      <c r="C11" s="91">
        <v>354.36709999999999</v>
      </c>
      <c r="D11" s="91">
        <v>8.0460999999999991</v>
      </c>
      <c r="E11" s="93">
        <v>309.803</v>
      </c>
      <c r="F11" s="91">
        <v>349.26429999999999</v>
      </c>
    </row>
    <row r="12" spans="2:6" x14ac:dyDescent="0.35">
      <c r="B12" s="91">
        <v>2</v>
      </c>
      <c r="C12" s="91">
        <v>708.73410000000001</v>
      </c>
      <c r="D12" s="91">
        <v>16.092199999999998</v>
      </c>
      <c r="E12" s="93">
        <v>259.60599999999999</v>
      </c>
      <c r="F12" s="91">
        <v>338.52850000000001</v>
      </c>
    </row>
    <row r="13" spans="2:6" x14ac:dyDescent="0.35">
      <c r="B13" s="91">
        <v>3</v>
      </c>
      <c r="C13" s="91">
        <v>1063.1012000000001</v>
      </c>
      <c r="D13" s="91">
        <v>24.138200000000001</v>
      </c>
      <c r="E13" s="91">
        <v>209.4091</v>
      </c>
      <c r="F13" s="91">
        <v>327.7928</v>
      </c>
    </row>
    <row r="14" spans="2:6" x14ac:dyDescent="0.35">
      <c r="B14" s="91">
        <v>4</v>
      </c>
      <c r="C14" s="91">
        <v>1417.4683</v>
      </c>
      <c r="D14" s="91">
        <v>32.1843</v>
      </c>
      <c r="E14" s="91">
        <v>159.21209999999999</v>
      </c>
      <c r="F14" s="91">
        <v>317.05709999999999</v>
      </c>
    </row>
    <row r="15" spans="2:6" x14ac:dyDescent="0.35">
      <c r="B15" s="91">
        <v>5</v>
      </c>
      <c r="C15" s="91">
        <v>1771.8353</v>
      </c>
      <c r="D15" s="91">
        <v>40.230400000000003</v>
      </c>
      <c r="E15" s="91">
        <v>109.01519999999999</v>
      </c>
      <c r="F15" s="91">
        <v>306.32139999999998</v>
      </c>
    </row>
    <row r="16" spans="2:6" x14ac:dyDescent="0.35">
      <c r="B16" s="91">
        <v>6</v>
      </c>
      <c r="C16" s="91">
        <v>2126.2024000000001</v>
      </c>
      <c r="D16" s="91">
        <v>48.276499999999999</v>
      </c>
      <c r="E16" s="91">
        <v>58.818100000000001</v>
      </c>
      <c r="F16" s="91">
        <v>295.5856</v>
      </c>
    </row>
    <row r="17" spans="2:6" x14ac:dyDescent="0.35">
      <c r="B17" s="91">
        <v>7</v>
      </c>
      <c r="C17" s="91">
        <v>2480.5693999999999</v>
      </c>
      <c r="D17" s="91">
        <v>56.322499999999998</v>
      </c>
      <c r="E17" s="91">
        <v>8.6211000000000002</v>
      </c>
      <c r="F17" s="91">
        <v>284.84989999999999</v>
      </c>
    </row>
    <row r="18" spans="2:6" x14ac:dyDescent="0.35">
      <c r="B18" s="91">
        <v>8</v>
      </c>
      <c r="C18" s="91">
        <v>2834.9364999999998</v>
      </c>
      <c r="D18" s="91">
        <v>64.368600000000001</v>
      </c>
      <c r="E18" s="91">
        <v>318.42410000000001</v>
      </c>
      <c r="F18" s="91">
        <v>274.11419999999998</v>
      </c>
    </row>
    <row r="19" spans="2:6" x14ac:dyDescent="0.35">
      <c r="B19" s="91">
        <v>9</v>
      </c>
      <c r="C19" s="91">
        <v>3189.3036000000002</v>
      </c>
      <c r="D19" s="91">
        <v>72.414699999999996</v>
      </c>
      <c r="E19" s="91">
        <v>268.22719999999998</v>
      </c>
      <c r="F19" s="91">
        <v>263.37849999999997</v>
      </c>
    </row>
    <row r="20" spans="2:6" x14ac:dyDescent="0.35">
      <c r="B20" s="91">
        <v>10</v>
      </c>
      <c r="C20" s="91">
        <v>3543.6705999999999</v>
      </c>
      <c r="D20" s="91">
        <v>80.460800000000006</v>
      </c>
      <c r="E20" s="91">
        <v>218.03020000000001</v>
      </c>
      <c r="F20" s="91">
        <v>252.64269999999999</v>
      </c>
    </row>
    <row r="21" spans="2:6" x14ac:dyDescent="0.35">
      <c r="B21" s="91">
        <v>11</v>
      </c>
      <c r="C21" s="91">
        <v>3898.0376999999999</v>
      </c>
      <c r="D21" s="91">
        <v>88.506900000000002</v>
      </c>
      <c r="E21" s="91">
        <v>167.83320000000001</v>
      </c>
      <c r="F21" s="91">
        <v>241.90700000000001</v>
      </c>
    </row>
    <row r="22" spans="2:6" x14ac:dyDescent="0.35">
      <c r="B22" s="91">
        <v>12</v>
      </c>
      <c r="C22" s="91">
        <v>4252.4048000000003</v>
      </c>
      <c r="D22" s="91">
        <v>96.552899999999994</v>
      </c>
      <c r="E22" s="91">
        <v>117.6362</v>
      </c>
      <c r="F22" s="91">
        <v>231.1713</v>
      </c>
    </row>
    <row r="23" spans="2:6" x14ac:dyDescent="0.35">
      <c r="B23" s="91">
        <v>13</v>
      </c>
      <c r="C23" s="91">
        <v>4606.7718000000004</v>
      </c>
      <c r="D23" s="91">
        <v>104.599</v>
      </c>
      <c r="E23" s="91">
        <v>67.4392</v>
      </c>
      <c r="F23" s="91">
        <v>220.43549999999999</v>
      </c>
    </row>
    <row r="24" spans="2:6" x14ac:dyDescent="0.35">
      <c r="B24" s="91">
        <v>14</v>
      </c>
      <c r="C24" s="91">
        <v>4961.1388999999999</v>
      </c>
      <c r="D24" s="91">
        <v>112.6451</v>
      </c>
      <c r="E24" s="91">
        <v>17.2422</v>
      </c>
      <c r="F24" s="91">
        <v>209.69980000000001</v>
      </c>
    </row>
    <row r="25" spans="2:6" x14ac:dyDescent="0.35">
      <c r="B25" s="91">
        <v>15</v>
      </c>
      <c r="C25" s="91">
        <v>5315.5060000000003</v>
      </c>
      <c r="D25" s="91">
        <v>120.69119999999999</v>
      </c>
      <c r="E25" s="91">
        <v>327.0453</v>
      </c>
      <c r="F25" s="91">
        <v>198.9641</v>
      </c>
    </row>
    <row r="26" spans="2:6" x14ac:dyDescent="0.35">
      <c r="B26" s="91">
        <v>16</v>
      </c>
      <c r="C26" s="91">
        <v>5669.8729999999996</v>
      </c>
      <c r="D26" s="91">
        <v>128.7372</v>
      </c>
      <c r="E26" s="91">
        <v>276.84829999999999</v>
      </c>
      <c r="F26" s="91">
        <v>188.22839999999999</v>
      </c>
    </row>
    <row r="27" spans="2:6" x14ac:dyDescent="0.35">
      <c r="B27" s="91">
        <v>17</v>
      </c>
      <c r="C27" s="91">
        <v>6024.2401</v>
      </c>
      <c r="D27" s="91">
        <v>136.7833</v>
      </c>
      <c r="E27" s="91">
        <v>226.65129999999999</v>
      </c>
      <c r="F27" s="91">
        <v>177.49260000000001</v>
      </c>
    </row>
    <row r="28" spans="2:6" x14ac:dyDescent="0.35">
      <c r="B28" s="91">
        <v>18</v>
      </c>
      <c r="C28" s="91">
        <v>6378.6072000000004</v>
      </c>
      <c r="D28" s="91">
        <v>144.82939999999999</v>
      </c>
      <c r="E28" s="91">
        <v>176.45429999999999</v>
      </c>
      <c r="F28" s="91">
        <v>166.7569</v>
      </c>
    </row>
    <row r="29" spans="2:6" x14ac:dyDescent="0.35">
      <c r="B29" s="91">
        <v>19</v>
      </c>
      <c r="C29" s="91">
        <v>6732.9741999999997</v>
      </c>
      <c r="D29" s="91">
        <v>152.87549999999999</v>
      </c>
      <c r="E29" s="91">
        <v>126.2573</v>
      </c>
      <c r="F29" s="91">
        <v>156.02119999999999</v>
      </c>
    </row>
    <row r="30" spans="2:6" x14ac:dyDescent="0.35">
      <c r="B30" s="91">
        <v>20</v>
      </c>
      <c r="C30" s="91">
        <v>7087.3413</v>
      </c>
      <c r="D30" s="91">
        <v>160.92160000000001</v>
      </c>
      <c r="E30" s="91">
        <v>76.060299999999998</v>
      </c>
      <c r="F30" s="91">
        <v>145.28550000000001</v>
      </c>
    </row>
    <row r="31" spans="2:6" x14ac:dyDescent="0.35">
      <c r="B31" s="91">
        <v>21</v>
      </c>
      <c r="C31" s="91">
        <v>7441.7083000000002</v>
      </c>
      <c r="D31" s="91">
        <v>168.9676</v>
      </c>
      <c r="E31" s="91">
        <v>25.863399999999999</v>
      </c>
      <c r="F31" s="91">
        <v>134.5497</v>
      </c>
    </row>
    <row r="32" spans="2:6" x14ac:dyDescent="0.35">
      <c r="B32" s="91">
        <v>22</v>
      </c>
      <c r="C32" s="91">
        <v>7796.0753999999997</v>
      </c>
      <c r="D32" s="91">
        <v>177.0137</v>
      </c>
      <c r="E32" s="91">
        <v>335.66640000000001</v>
      </c>
      <c r="F32" s="91">
        <v>123.81399999999999</v>
      </c>
    </row>
    <row r="33" spans="2:6" x14ac:dyDescent="0.35">
      <c r="B33" s="91">
        <v>23</v>
      </c>
      <c r="C33" s="91">
        <v>8150.4425000000001</v>
      </c>
      <c r="D33" s="91">
        <v>185.0598</v>
      </c>
      <c r="E33" s="91">
        <v>285.46940000000001</v>
      </c>
      <c r="F33" s="91">
        <v>113.0783</v>
      </c>
    </row>
    <row r="34" spans="2:6" x14ac:dyDescent="0.35">
      <c r="B34" s="91">
        <v>24</v>
      </c>
      <c r="C34" s="91">
        <v>8504.8094999999994</v>
      </c>
      <c r="D34" s="91">
        <v>193.10589999999999</v>
      </c>
      <c r="E34" s="91">
        <v>235.27250000000001</v>
      </c>
      <c r="F34" s="91">
        <v>102.3426</v>
      </c>
    </row>
    <row r="35" spans="2:6" x14ac:dyDescent="0.35">
      <c r="B35" s="91">
        <v>25</v>
      </c>
      <c r="C35" s="91">
        <v>8859.1766000000007</v>
      </c>
      <c r="D35" s="91">
        <v>201.15199999999999</v>
      </c>
      <c r="E35" s="91">
        <v>185.07550000000001</v>
      </c>
      <c r="F35" s="91">
        <v>91.606800000000007</v>
      </c>
    </row>
    <row r="36" spans="2:6" x14ac:dyDescent="0.35">
      <c r="B36" s="91">
        <v>26</v>
      </c>
      <c r="C36" s="91">
        <v>9213.5437000000002</v>
      </c>
      <c r="D36" s="91">
        <v>209.19800000000001</v>
      </c>
      <c r="E36" s="91">
        <v>134.8785</v>
      </c>
      <c r="F36" s="91">
        <v>80.871099999999998</v>
      </c>
    </row>
    <row r="37" spans="2:6" x14ac:dyDescent="0.35">
      <c r="B37" s="91">
        <v>27</v>
      </c>
      <c r="C37" s="91">
        <v>9567.9107000000004</v>
      </c>
      <c r="D37" s="91">
        <v>217.2441</v>
      </c>
      <c r="E37" s="91">
        <v>84.6815</v>
      </c>
      <c r="F37" s="91">
        <v>70.135400000000004</v>
      </c>
    </row>
    <row r="38" spans="2:6" x14ac:dyDescent="0.35">
      <c r="B38" s="91">
        <v>28</v>
      </c>
      <c r="C38" s="91">
        <v>9922.2777999999998</v>
      </c>
      <c r="D38" s="91">
        <v>225.2902</v>
      </c>
      <c r="E38" s="91">
        <v>34.484499999999997</v>
      </c>
      <c r="F38" s="91">
        <v>59.399700000000003</v>
      </c>
    </row>
    <row r="39" spans="2:6" x14ac:dyDescent="0.35">
      <c r="B39" s="91">
        <v>29</v>
      </c>
      <c r="C39" s="91">
        <v>10276.644899999999</v>
      </c>
      <c r="D39" s="91">
        <v>233.33629999999999</v>
      </c>
      <c r="E39" s="91">
        <v>344.28750000000002</v>
      </c>
      <c r="F39" s="91">
        <v>48.663899999999998</v>
      </c>
    </row>
    <row r="40" spans="2:6" x14ac:dyDescent="0.35">
      <c r="B40" s="91">
        <v>30</v>
      </c>
      <c r="C40" s="91">
        <v>10631.0119</v>
      </c>
      <c r="D40" s="91">
        <v>241.38229999999999</v>
      </c>
      <c r="E40" s="91">
        <v>294.09050000000002</v>
      </c>
      <c r="F40" s="91">
        <v>37.928199999999997</v>
      </c>
    </row>
  </sheetData>
  <mergeCells count="3">
    <mergeCell ref="B4:F5"/>
    <mergeCell ref="B7:F7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5CE5-B132-4B76-B787-CF76BC4FA8BF}">
  <dimension ref="B5:F23"/>
  <sheetViews>
    <sheetView workbookViewId="0">
      <selection activeCell="B4" sqref="B4:F23"/>
    </sheetView>
  </sheetViews>
  <sheetFormatPr defaultRowHeight="14.5" x14ac:dyDescent="0.35"/>
  <cols>
    <col min="2" max="2" width="18.90625" customWidth="1"/>
    <col min="3" max="3" width="13.1796875" customWidth="1"/>
    <col min="4" max="4" width="12.453125" customWidth="1"/>
    <col min="5" max="5" width="11.7265625" customWidth="1"/>
    <col min="6" max="6" width="11.81640625" customWidth="1"/>
  </cols>
  <sheetData>
    <row r="5" spans="2:6" x14ac:dyDescent="0.35">
      <c r="B5" s="88" t="s">
        <v>489</v>
      </c>
      <c r="C5" s="88"/>
      <c r="D5" s="88"/>
      <c r="E5" s="88"/>
      <c r="F5" s="88"/>
    </row>
    <row r="6" spans="2:6" x14ac:dyDescent="0.35">
      <c r="B6" s="88"/>
      <c r="C6" s="88"/>
      <c r="D6" s="88"/>
      <c r="E6" s="88"/>
      <c r="F6" s="88"/>
    </row>
    <row r="8" spans="2:6" x14ac:dyDescent="0.35">
      <c r="B8" s="89" t="s">
        <v>490</v>
      </c>
      <c r="C8" s="89"/>
      <c r="D8" s="89"/>
      <c r="E8" s="89"/>
      <c r="F8" s="89"/>
    </row>
    <row r="9" spans="2:6" x14ac:dyDescent="0.35">
      <c r="B9" s="90" t="s">
        <v>491</v>
      </c>
      <c r="C9" s="91" t="s">
        <v>9</v>
      </c>
      <c r="D9" s="3" t="s">
        <v>8</v>
      </c>
      <c r="E9" s="91" t="s">
        <v>7</v>
      </c>
      <c r="F9" s="91" t="s">
        <v>6</v>
      </c>
    </row>
    <row r="10" spans="2:6" x14ac:dyDescent="0.35">
      <c r="B10" s="92"/>
      <c r="C10" s="91" t="s">
        <v>5</v>
      </c>
      <c r="D10" s="91" t="s">
        <v>4</v>
      </c>
      <c r="E10" s="91" t="s">
        <v>3</v>
      </c>
      <c r="F10" s="91" t="s">
        <v>2</v>
      </c>
    </row>
    <row r="11" spans="2:6" x14ac:dyDescent="0.35">
      <c r="B11" s="91">
        <v>1</v>
      </c>
      <c r="C11" s="91">
        <v>2</v>
      </c>
      <c r="D11" s="91">
        <v>3</v>
      </c>
      <c r="E11" s="91">
        <v>4</v>
      </c>
      <c r="F11" s="91">
        <v>5</v>
      </c>
    </row>
    <row r="12" spans="2:6" x14ac:dyDescent="0.35">
      <c r="B12" s="94" t="s">
        <v>492</v>
      </c>
      <c r="C12" s="91">
        <v>29.5306</v>
      </c>
      <c r="D12" s="91">
        <v>30.670500000000001</v>
      </c>
      <c r="E12" s="91">
        <v>25.8169</v>
      </c>
      <c r="F12" s="91">
        <v>29.105399999999999</v>
      </c>
    </row>
    <row r="13" spans="2:6" x14ac:dyDescent="0.35">
      <c r="B13" s="94" t="s">
        <v>493</v>
      </c>
      <c r="C13" s="91">
        <v>59.061199999999999</v>
      </c>
      <c r="D13" s="91">
        <v>61.341000000000001</v>
      </c>
      <c r="E13" s="91">
        <v>51.633800000000001</v>
      </c>
      <c r="F13" s="91">
        <v>58.210700000000003</v>
      </c>
    </row>
    <row r="14" spans="2:6" x14ac:dyDescent="0.35">
      <c r="B14" s="94" t="s">
        <v>494</v>
      </c>
      <c r="C14" s="91">
        <v>88.591800000000006</v>
      </c>
      <c r="D14" s="91">
        <v>92.011499999999998</v>
      </c>
      <c r="E14" s="91">
        <v>77.450800000000001</v>
      </c>
      <c r="F14" s="91">
        <v>87.316100000000006</v>
      </c>
    </row>
    <row r="15" spans="2:6" x14ac:dyDescent="0.35">
      <c r="B15" s="94" t="s">
        <v>495</v>
      </c>
      <c r="C15" s="91">
        <v>118.1224</v>
      </c>
      <c r="D15" s="91">
        <v>122.682</v>
      </c>
      <c r="E15" s="91">
        <v>103.2677</v>
      </c>
      <c r="F15" s="91">
        <v>116.42140000000001</v>
      </c>
    </row>
    <row r="16" spans="2:6" x14ac:dyDescent="0.35">
      <c r="B16" s="94" t="s">
        <v>496</v>
      </c>
      <c r="C16" s="91">
        <v>147.65299999999999</v>
      </c>
      <c r="D16" s="91">
        <v>153.35249999999999</v>
      </c>
      <c r="E16" s="91">
        <v>129.08459999999999</v>
      </c>
      <c r="F16" s="91">
        <v>145.52680000000001</v>
      </c>
    </row>
    <row r="17" spans="2:6" x14ac:dyDescent="0.35">
      <c r="B17" s="94" t="s">
        <v>497</v>
      </c>
      <c r="C17" s="91">
        <v>177.18350000000001</v>
      </c>
      <c r="D17" s="91">
        <v>184.023</v>
      </c>
      <c r="E17" s="91">
        <v>154.9015</v>
      </c>
      <c r="F17" s="91">
        <v>174.63210000000001</v>
      </c>
    </row>
    <row r="18" spans="2:6" x14ac:dyDescent="0.35">
      <c r="B18" s="94" t="s">
        <v>498</v>
      </c>
      <c r="C18" s="91">
        <v>206.7141</v>
      </c>
      <c r="D18" s="91">
        <v>214.6935</v>
      </c>
      <c r="E18" s="91">
        <v>180.7184</v>
      </c>
      <c r="F18" s="91">
        <v>203.73750000000001</v>
      </c>
    </row>
    <row r="19" spans="2:6" x14ac:dyDescent="0.35">
      <c r="B19" s="94" t="s">
        <v>499</v>
      </c>
      <c r="C19" s="91">
        <v>236.24469999999999</v>
      </c>
      <c r="D19" s="91">
        <v>245.36410000000001</v>
      </c>
      <c r="E19" s="91">
        <v>206.53530000000001</v>
      </c>
      <c r="F19" s="91">
        <v>232.84280000000001</v>
      </c>
    </row>
    <row r="20" spans="2:6" x14ac:dyDescent="0.35">
      <c r="B20" s="94" t="s">
        <v>500</v>
      </c>
      <c r="C20" s="91">
        <v>265.77530000000002</v>
      </c>
      <c r="D20" s="91">
        <v>276.03460000000001</v>
      </c>
      <c r="E20" s="91">
        <v>232.35220000000001</v>
      </c>
      <c r="F20" s="91">
        <v>261.94819999999999</v>
      </c>
    </row>
    <row r="21" spans="2:6" x14ac:dyDescent="0.35">
      <c r="B21" s="94" t="s">
        <v>501</v>
      </c>
      <c r="C21" s="91">
        <v>295.30590000000001</v>
      </c>
      <c r="D21" s="91">
        <v>306.70510000000002</v>
      </c>
      <c r="E21" s="91">
        <v>258.16910000000001</v>
      </c>
      <c r="F21" s="91">
        <v>291.05360000000002</v>
      </c>
    </row>
    <row r="22" spans="2:6" x14ac:dyDescent="0.35">
      <c r="B22" s="94" t="s">
        <v>502</v>
      </c>
      <c r="C22" s="91">
        <v>324.8365</v>
      </c>
      <c r="D22" s="91">
        <v>8.0460999999999991</v>
      </c>
      <c r="E22" s="91">
        <v>283.98610000000002</v>
      </c>
      <c r="F22" s="91">
        <v>320.15890000000002</v>
      </c>
    </row>
    <row r="23" spans="2:6" x14ac:dyDescent="0.35">
      <c r="B23" s="94" t="s">
        <v>503</v>
      </c>
      <c r="C23" s="91">
        <v>354.36709999999999</v>
      </c>
      <c r="D23" s="91">
        <v>8.0460999999999991</v>
      </c>
      <c r="E23" s="91">
        <v>309.803</v>
      </c>
      <c r="F23" s="91">
        <v>349.26429999999999</v>
      </c>
    </row>
  </sheetData>
  <mergeCells count="3">
    <mergeCell ref="B5:F6"/>
    <mergeCell ref="B8:F8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832-9AB3-477A-B230-37D7C819CA12}">
  <dimension ref="C2:DP35"/>
  <sheetViews>
    <sheetView topLeftCell="AD19" workbookViewId="0">
      <selection activeCell="BY3" sqref="BY3:DP35"/>
    </sheetView>
  </sheetViews>
  <sheetFormatPr defaultRowHeight="14.5" x14ac:dyDescent="0.35"/>
  <sheetData>
    <row r="2" spans="3:120" ht="15" thickBot="1" x14ac:dyDescent="0.4"/>
    <row r="3" spans="3:120" ht="16" thickBot="1" x14ac:dyDescent="0.4">
      <c r="C3" s="41" t="s">
        <v>12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R3" s="41" t="s">
        <v>13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  <c r="AF3" s="10"/>
      <c r="AG3" s="44" t="s">
        <v>14</v>
      </c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V3" s="45" t="s">
        <v>35</v>
      </c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K3" s="41" t="s">
        <v>89</v>
      </c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3"/>
      <c r="BZ3" s="41" t="s">
        <v>90</v>
      </c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3"/>
      <c r="CO3" s="41" t="s">
        <v>91</v>
      </c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3"/>
      <c r="DD3" s="41" t="s">
        <v>92</v>
      </c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3"/>
    </row>
    <row r="4" spans="3:120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  <c r="R4" s="2" t="s">
        <v>0</v>
      </c>
      <c r="S4" s="7">
        <v>0</v>
      </c>
      <c r="T4" s="7">
        <v>30</v>
      </c>
      <c r="U4" s="7">
        <v>60</v>
      </c>
      <c r="V4" s="7">
        <v>90</v>
      </c>
      <c r="W4" s="7">
        <v>120</v>
      </c>
      <c r="X4" s="7">
        <v>150</v>
      </c>
      <c r="Y4" s="6">
        <v>180</v>
      </c>
      <c r="Z4" s="6">
        <v>210</v>
      </c>
      <c r="AA4" s="6">
        <v>240</v>
      </c>
      <c r="AB4" s="6">
        <v>270</v>
      </c>
      <c r="AC4" s="6">
        <v>300</v>
      </c>
      <c r="AD4" s="6">
        <v>330</v>
      </c>
      <c r="AF4" s="10"/>
      <c r="AG4" s="11" t="s">
        <v>15</v>
      </c>
      <c r="AH4" s="11" t="s">
        <v>16</v>
      </c>
      <c r="AI4" s="11" t="s">
        <v>17</v>
      </c>
      <c r="AJ4" s="11" t="s">
        <v>18</v>
      </c>
      <c r="AK4" s="11" t="s">
        <v>19</v>
      </c>
      <c r="AL4" s="11" t="s">
        <v>20</v>
      </c>
      <c r="AM4" s="11" t="s">
        <v>21</v>
      </c>
      <c r="AN4" s="12">
        <v>180</v>
      </c>
      <c r="AO4" s="12">
        <v>210</v>
      </c>
      <c r="AP4" s="12">
        <v>240</v>
      </c>
      <c r="AQ4" s="12">
        <v>270</v>
      </c>
      <c r="AR4" s="12">
        <v>300</v>
      </c>
      <c r="AS4" s="12">
        <v>330</v>
      </c>
      <c r="AV4" s="14" t="s">
        <v>15</v>
      </c>
      <c r="AW4" s="14" t="s">
        <v>16</v>
      </c>
      <c r="AX4" s="14" t="s">
        <v>17</v>
      </c>
      <c r="AY4" s="14" t="s">
        <v>18</v>
      </c>
      <c r="AZ4" s="14" t="s">
        <v>19</v>
      </c>
      <c r="BA4" s="14" t="s">
        <v>20</v>
      </c>
      <c r="BB4" s="14" t="s">
        <v>21</v>
      </c>
      <c r="BC4" s="14" t="s">
        <v>36</v>
      </c>
      <c r="BD4" s="14" t="s">
        <v>37</v>
      </c>
      <c r="BE4" s="14" t="s">
        <v>38</v>
      </c>
      <c r="BF4" s="14" t="s">
        <v>39</v>
      </c>
      <c r="BG4" s="14" t="s">
        <v>40</v>
      </c>
      <c r="BH4" s="14" t="s">
        <v>41</v>
      </c>
      <c r="BK4" s="2" t="s">
        <v>0</v>
      </c>
      <c r="BL4" s="7">
        <v>0</v>
      </c>
      <c r="BM4" s="7">
        <v>30</v>
      </c>
      <c r="BN4" s="7">
        <v>60</v>
      </c>
      <c r="BO4" s="7">
        <v>90</v>
      </c>
      <c r="BP4" s="7">
        <v>120</v>
      </c>
      <c r="BQ4" s="7">
        <v>150</v>
      </c>
      <c r="BR4" s="6">
        <v>180</v>
      </c>
      <c r="BS4" s="6">
        <v>210</v>
      </c>
      <c r="BT4" s="6">
        <v>240</v>
      </c>
      <c r="BU4" s="6">
        <v>270</v>
      </c>
      <c r="BV4" s="6">
        <v>300</v>
      </c>
      <c r="BW4" s="6">
        <v>330</v>
      </c>
      <c r="BZ4" s="2" t="s">
        <v>0</v>
      </c>
      <c r="CA4" s="7">
        <v>0</v>
      </c>
      <c r="CB4" s="7">
        <v>30</v>
      </c>
      <c r="CC4" s="7">
        <v>60</v>
      </c>
      <c r="CD4" s="7">
        <v>90</v>
      </c>
      <c r="CE4" s="7">
        <v>120</v>
      </c>
      <c r="CF4" s="7">
        <v>150</v>
      </c>
      <c r="CG4" s="6">
        <v>180</v>
      </c>
      <c r="CH4" s="6">
        <v>210</v>
      </c>
      <c r="CI4" s="6">
        <v>240</v>
      </c>
      <c r="CJ4" s="6">
        <v>270</v>
      </c>
      <c r="CK4" s="6">
        <v>300</v>
      </c>
      <c r="CL4" s="6">
        <v>330</v>
      </c>
      <c r="CO4" s="2" t="s">
        <v>0</v>
      </c>
      <c r="CP4" s="7">
        <v>0</v>
      </c>
      <c r="CQ4" s="7">
        <v>30</v>
      </c>
      <c r="CR4" s="7">
        <v>60</v>
      </c>
      <c r="CS4" s="7">
        <v>90</v>
      </c>
      <c r="CT4" s="7">
        <v>120</v>
      </c>
      <c r="CU4" s="7">
        <v>150</v>
      </c>
      <c r="CV4" s="6">
        <v>180</v>
      </c>
      <c r="CW4" s="6">
        <v>210</v>
      </c>
      <c r="CX4" s="6">
        <v>240</v>
      </c>
      <c r="CY4" s="6">
        <v>270</v>
      </c>
      <c r="CZ4" s="6">
        <v>300</v>
      </c>
      <c r="DA4" s="6">
        <v>330</v>
      </c>
      <c r="DD4" s="2" t="s">
        <v>0</v>
      </c>
      <c r="DE4" s="7">
        <v>0</v>
      </c>
      <c r="DF4" s="7">
        <v>30</v>
      </c>
      <c r="DG4" s="7">
        <v>60</v>
      </c>
      <c r="DH4" s="7">
        <v>90</v>
      </c>
      <c r="DI4" s="7">
        <v>120</v>
      </c>
      <c r="DJ4" s="7">
        <v>150</v>
      </c>
      <c r="DK4" s="6">
        <v>180</v>
      </c>
      <c r="DL4" s="6">
        <v>210</v>
      </c>
      <c r="DM4" s="6">
        <v>240</v>
      </c>
      <c r="DN4" s="6">
        <v>270</v>
      </c>
      <c r="DO4" s="6">
        <v>300</v>
      </c>
      <c r="DP4" s="6">
        <v>330</v>
      </c>
    </row>
    <row r="5" spans="3:120" ht="16" thickBot="1" x14ac:dyDescent="0.4">
      <c r="C5" s="2">
        <v>0</v>
      </c>
      <c r="D5" s="8">
        <v>0</v>
      </c>
      <c r="E5" s="8">
        <v>8.6699999999999999E-2</v>
      </c>
      <c r="F5" s="8">
        <v>0.1502</v>
      </c>
      <c r="G5" s="8">
        <v>0.1734</v>
      </c>
      <c r="H5" s="8">
        <v>0.1502</v>
      </c>
      <c r="I5" s="8">
        <v>8.6699999999999999E-2</v>
      </c>
      <c r="J5" s="9">
        <v>0</v>
      </c>
      <c r="K5" s="9">
        <v>-8.6699999999999999E-2</v>
      </c>
      <c r="L5" s="9">
        <v>-0.1502</v>
      </c>
      <c r="M5" s="9">
        <v>-0.1734</v>
      </c>
      <c r="N5" s="9">
        <v>-0.1502</v>
      </c>
      <c r="O5" s="9">
        <v>-8.6699999999999999E-2</v>
      </c>
      <c r="R5" s="2">
        <v>0</v>
      </c>
      <c r="S5" s="8">
        <v>0</v>
      </c>
      <c r="T5" s="8">
        <v>1.1000000000000001E-3</v>
      </c>
      <c r="U5" s="8">
        <v>1.8E-3</v>
      </c>
      <c r="V5" s="8">
        <v>2.0999999999999999E-3</v>
      </c>
      <c r="W5" s="8">
        <v>1.8E-3</v>
      </c>
      <c r="X5" s="8">
        <v>1.1000000000000001E-3</v>
      </c>
      <c r="Y5" s="9">
        <v>0</v>
      </c>
      <c r="Z5" s="9">
        <v>-1.1000000000000001E-3</v>
      </c>
      <c r="AA5" s="9">
        <v>-1.8E-3</v>
      </c>
      <c r="AB5" s="9">
        <v>-2.0999999999999999E-3</v>
      </c>
      <c r="AC5" s="9">
        <v>-1.8E-3</v>
      </c>
      <c r="AD5" s="9">
        <v>-1.1000000000000001E-3</v>
      </c>
      <c r="AG5" s="13" t="s">
        <v>16</v>
      </c>
      <c r="AH5" s="13" t="s">
        <v>22</v>
      </c>
      <c r="AI5" s="13">
        <v>-0.2034</v>
      </c>
      <c r="AJ5" s="13">
        <v>-0.35249999999999998</v>
      </c>
      <c r="AK5" s="13">
        <v>-0.40679999999999999</v>
      </c>
      <c r="AL5" s="13">
        <v>-0.3523</v>
      </c>
      <c r="AM5" s="13">
        <v>-0.2034</v>
      </c>
      <c r="AN5" s="13" t="s">
        <v>22</v>
      </c>
      <c r="AO5" s="13">
        <v>0.2034</v>
      </c>
      <c r="AP5" s="13">
        <v>0.35249999999999998</v>
      </c>
      <c r="AQ5" s="13">
        <v>0.40679999999999999</v>
      </c>
      <c r="AR5" s="13">
        <v>0.3523</v>
      </c>
      <c r="AS5" s="13">
        <v>0.2034</v>
      </c>
      <c r="AV5" s="13">
        <v>0</v>
      </c>
      <c r="AW5" s="13" t="s">
        <v>22</v>
      </c>
      <c r="AX5" s="13">
        <v>8.0999999999999996E-3</v>
      </c>
      <c r="AY5" s="13">
        <v>1.3899999999999999E-2</v>
      </c>
      <c r="AZ5" s="13">
        <v>1.61E-2</v>
      </c>
      <c r="BA5" s="13">
        <v>1.3899999999999999E-2</v>
      </c>
      <c r="BB5" s="13">
        <v>8.0999999999999996E-3</v>
      </c>
      <c r="BC5" s="13" t="s">
        <v>22</v>
      </c>
      <c r="BD5" s="13">
        <v>-8.0999999999999996E-3</v>
      </c>
      <c r="BE5" s="13">
        <v>-1.3899999999999999E-2</v>
      </c>
      <c r="BF5" s="13">
        <v>-1.61E-2</v>
      </c>
      <c r="BG5" s="13">
        <v>-1.3899999999999999E-2</v>
      </c>
      <c r="BH5" s="13">
        <v>-8.0999999999999996E-3</v>
      </c>
      <c r="BK5" s="2">
        <v>0</v>
      </c>
      <c r="BL5" s="8">
        <v>0</v>
      </c>
      <c r="BM5" s="8">
        <v>-2.5999999999999999E-3</v>
      </c>
      <c r="BN5" s="8">
        <v>-4.4000000000000003E-3</v>
      </c>
      <c r="BO5" s="8">
        <v>-5.1000000000000004E-3</v>
      </c>
      <c r="BP5" s="8">
        <v>-4.4000000000000003E-3</v>
      </c>
      <c r="BQ5" s="8">
        <v>-2.5999999999999999E-3</v>
      </c>
      <c r="BR5" s="9">
        <v>0</v>
      </c>
      <c r="BS5" s="9">
        <v>2.5999999999999999E-3</v>
      </c>
      <c r="BT5" s="9">
        <v>4.4000000000000003E-3</v>
      </c>
      <c r="BU5" s="9">
        <v>5.1000000000000004E-3</v>
      </c>
      <c r="BV5" s="9">
        <v>4.4000000000000003E-3</v>
      </c>
      <c r="BW5" s="9">
        <v>2.5999999999999999E-3</v>
      </c>
      <c r="BZ5" s="2">
        <v>0</v>
      </c>
      <c r="CA5" s="8">
        <v>0</v>
      </c>
      <c r="CB5" s="8">
        <v>-3.7000000000000002E-3</v>
      </c>
      <c r="CC5" s="8">
        <v>-6.4000000000000003E-3</v>
      </c>
      <c r="CD5" s="8">
        <v>-7.4000000000000003E-3</v>
      </c>
      <c r="CE5" s="8">
        <v>-6.4000000000000003E-3</v>
      </c>
      <c r="CF5" s="8">
        <v>-3.7000000000000002E-3</v>
      </c>
      <c r="CG5" s="9">
        <v>0</v>
      </c>
      <c r="CH5" s="9">
        <v>3.7000000000000002E-3</v>
      </c>
      <c r="CI5" s="9">
        <v>6.4000000000000003E-3</v>
      </c>
      <c r="CJ5" s="9">
        <v>7.4000000000000003E-3</v>
      </c>
      <c r="CK5" s="9">
        <v>6.4000000000000003E-3</v>
      </c>
      <c r="CL5" s="9">
        <v>3.7000000000000002E-3</v>
      </c>
      <c r="CO5" s="2">
        <v>0</v>
      </c>
      <c r="CP5" s="8">
        <v>0</v>
      </c>
      <c r="CQ5" s="8">
        <v>5.1999999999999998E-3</v>
      </c>
      <c r="CR5" s="8">
        <v>8.9999999999999993E-3</v>
      </c>
      <c r="CS5" s="8">
        <v>1.04E-2</v>
      </c>
      <c r="CT5" s="8">
        <v>8.9999999999999993E-3</v>
      </c>
      <c r="CU5" s="8">
        <v>5.1999999999999998E-3</v>
      </c>
      <c r="CV5" s="9">
        <v>0</v>
      </c>
      <c r="CW5" s="9">
        <v>-5.1999999999999998E-3</v>
      </c>
      <c r="CX5" s="9">
        <v>-8.9999999999999993E-3</v>
      </c>
      <c r="CY5" s="9">
        <v>-1.04E-2</v>
      </c>
      <c r="CZ5" s="9">
        <v>-8.9999999999999993E-3</v>
      </c>
      <c r="DA5" s="9">
        <v>-5.1999999999999998E-3</v>
      </c>
      <c r="DD5" s="2">
        <v>0</v>
      </c>
      <c r="DE5" s="8">
        <v>0</v>
      </c>
      <c r="DF5" s="8">
        <v>5.0000000000000001E-4</v>
      </c>
      <c r="DG5" s="8">
        <v>8.9999999999999998E-4</v>
      </c>
      <c r="DH5" s="8">
        <v>1E-3</v>
      </c>
      <c r="DI5" s="8">
        <v>8.9999999999999998E-4</v>
      </c>
      <c r="DJ5" s="8">
        <v>5.0000000000000001E-4</v>
      </c>
      <c r="DK5" s="9">
        <v>0</v>
      </c>
      <c r="DL5" s="9">
        <v>-5.0000000000000001E-4</v>
      </c>
      <c r="DM5" s="9">
        <v>-8.9999999999999998E-4</v>
      </c>
      <c r="DN5" s="9">
        <v>-1E-3</v>
      </c>
      <c r="DO5" s="9">
        <v>-8.9999999999999998E-4</v>
      </c>
      <c r="DP5" s="9">
        <v>-5.0000000000000001E-4</v>
      </c>
    </row>
    <row r="6" spans="3:120" ht="16" thickBot="1" x14ac:dyDescent="0.4">
      <c r="C6" s="2">
        <v>1</v>
      </c>
      <c r="D6" s="8">
        <v>3.0000000000000001E-3</v>
      </c>
      <c r="E6" s="8">
        <v>8.9300000000000004E-2</v>
      </c>
      <c r="F6" s="8">
        <v>0.1517</v>
      </c>
      <c r="G6" s="8">
        <v>0.1734</v>
      </c>
      <c r="H6" s="8">
        <v>0.14860000000000001</v>
      </c>
      <c r="I6" s="8">
        <v>8.4099999999999994E-2</v>
      </c>
      <c r="J6" s="9">
        <v>-3.0000000000000001E-3</v>
      </c>
      <c r="K6" s="9">
        <v>-8.9300000000000004E-2</v>
      </c>
      <c r="L6" s="9">
        <v>-0.1517</v>
      </c>
      <c r="M6" s="9">
        <v>-0.1734</v>
      </c>
      <c r="N6" s="9">
        <v>-0.14860000000000001</v>
      </c>
      <c r="O6" s="9">
        <v>-8.4099999999999994E-2</v>
      </c>
      <c r="R6" s="2">
        <v>1</v>
      </c>
      <c r="S6" s="8">
        <v>0</v>
      </c>
      <c r="T6" s="8">
        <v>1.1000000000000001E-3</v>
      </c>
      <c r="U6" s="8">
        <v>1.8E-3</v>
      </c>
      <c r="V6" s="8">
        <v>2.0999999999999999E-3</v>
      </c>
      <c r="W6" s="8">
        <v>1.8E-3</v>
      </c>
      <c r="X6" s="8">
        <v>1E-3</v>
      </c>
      <c r="Y6" s="9">
        <v>0</v>
      </c>
      <c r="Z6" s="9">
        <v>-1.1000000000000001E-3</v>
      </c>
      <c r="AA6" s="9">
        <v>-1.8E-3</v>
      </c>
      <c r="AB6" s="9">
        <v>-2.0999999999999999E-3</v>
      </c>
      <c r="AC6" s="9">
        <v>-1.8E-3</v>
      </c>
      <c r="AD6" s="9">
        <v>-1E-3</v>
      </c>
      <c r="AG6" s="13">
        <v>1</v>
      </c>
      <c r="AH6" s="13">
        <v>-7.1000000000000004E-3</v>
      </c>
      <c r="AI6" s="13">
        <v>-0.20949999999999999</v>
      </c>
      <c r="AJ6" s="13">
        <v>-0.35580000000000001</v>
      </c>
      <c r="AK6" s="13">
        <v>-0.40670000000000001</v>
      </c>
      <c r="AL6" s="13">
        <v>-0.34870000000000001</v>
      </c>
      <c r="AM6" s="13">
        <v>-0.19719999999999999</v>
      </c>
      <c r="AN6" s="13">
        <v>7.1000000000000004E-3</v>
      </c>
      <c r="AO6" s="13">
        <v>0.20949999999999999</v>
      </c>
      <c r="AP6" s="13">
        <v>0.35580000000000001</v>
      </c>
      <c r="AQ6" s="13">
        <v>0.40670000000000001</v>
      </c>
      <c r="AR6" s="13">
        <v>0.34870000000000001</v>
      </c>
      <c r="AS6" s="13">
        <v>0.19719999999999999</v>
      </c>
      <c r="AV6" s="13" t="s">
        <v>42</v>
      </c>
      <c r="AW6" s="13">
        <v>2.9999999999999997E-4</v>
      </c>
      <c r="AX6" s="13">
        <v>8.3000000000000001E-3</v>
      </c>
      <c r="AY6" s="13">
        <v>1.41E-2</v>
      </c>
      <c r="AZ6" s="13">
        <v>1.61E-2</v>
      </c>
      <c r="BA6" s="13">
        <v>1.38E-2</v>
      </c>
      <c r="BB6" s="13">
        <v>7.7999999999999996E-3</v>
      </c>
      <c r="BC6" s="13">
        <v>-2.9999999999999997E-4</v>
      </c>
      <c r="BD6" s="13">
        <v>-8.3000000000000001E-3</v>
      </c>
      <c r="BE6" s="13">
        <v>-1.41E-2</v>
      </c>
      <c r="BF6" s="13">
        <v>-1.61E-2</v>
      </c>
      <c r="BG6" s="13">
        <v>-1.38E-2</v>
      </c>
      <c r="BH6" s="13">
        <v>-7.7999999999999996E-3</v>
      </c>
      <c r="BK6" s="2">
        <v>1</v>
      </c>
      <c r="BL6" s="8">
        <v>-1E-4</v>
      </c>
      <c r="BM6" s="8">
        <v>-2.5999999999999999E-3</v>
      </c>
      <c r="BN6" s="8">
        <v>-4.4999999999999997E-3</v>
      </c>
      <c r="BO6" s="8">
        <v>-5.1000000000000004E-3</v>
      </c>
      <c r="BP6" s="8">
        <v>-4.4000000000000003E-3</v>
      </c>
      <c r="BQ6" s="8">
        <v>-2.5000000000000001E-3</v>
      </c>
      <c r="BR6" s="9">
        <v>1E-4</v>
      </c>
      <c r="BS6" s="9">
        <v>2.5999999999999999E-3</v>
      </c>
      <c r="BT6" s="9">
        <v>4.4999999999999997E-3</v>
      </c>
      <c r="BU6" s="9">
        <v>5.1000000000000004E-3</v>
      </c>
      <c r="BV6" s="9">
        <v>4.4000000000000003E-3</v>
      </c>
      <c r="BW6" s="9">
        <v>2.5000000000000001E-3</v>
      </c>
      <c r="BZ6" s="2">
        <v>1</v>
      </c>
      <c r="CA6" s="8">
        <v>-1E-4</v>
      </c>
      <c r="CB6" s="8">
        <v>-3.8E-3</v>
      </c>
      <c r="CC6" s="8">
        <v>-6.4999999999999997E-3</v>
      </c>
      <c r="CD6" s="8">
        <v>-7.4000000000000003E-3</v>
      </c>
      <c r="CE6" s="8">
        <v>-6.3E-3</v>
      </c>
      <c r="CF6" s="8">
        <v>-3.5999999999999999E-3</v>
      </c>
      <c r="CG6" s="9">
        <v>1E-4</v>
      </c>
      <c r="CH6" s="9">
        <v>3.8E-3</v>
      </c>
      <c r="CI6" s="9">
        <v>6.4999999999999997E-3</v>
      </c>
      <c r="CJ6" s="9">
        <v>7.4000000000000003E-3</v>
      </c>
      <c r="CK6" s="9">
        <v>6.3E-3</v>
      </c>
      <c r="CL6" s="9">
        <v>3.5999999999999999E-3</v>
      </c>
      <c r="CO6" s="2">
        <v>1</v>
      </c>
      <c r="CP6" s="8">
        <v>2.0000000000000001E-4</v>
      </c>
      <c r="CQ6" s="8">
        <v>5.4000000000000003E-3</v>
      </c>
      <c r="CR6" s="8">
        <v>9.1000000000000004E-3</v>
      </c>
      <c r="CS6" s="8">
        <v>1.04E-2</v>
      </c>
      <c r="CT6" s="8">
        <v>8.8999999999999999E-3</v>
      </c>
      <c r="CU6" s="8">
        <v>5.0000000000000001E-3</v>
      </c>
      <c r="CV6" s="9">
        <v>-2.0000000000000001E-4</v>
      </c>
      <c r="CW6" s="9">
        <v>-5.4000000000000003E-3</v>
      </c>
      <c r="CX6" s="9">
        <v>-9.1000000000000004E-3</v>
      </c>
      <c r="CY6" s="9">
        <v>-1.04E-2</v>
      </c>
      <c r="CZ6" s="9">
        <v>-8.8999999999999999E-3</v>
      </c>
      <c r="DA6" s="9">
        <v>-5.0000000000000001E-3</v>
      </c>
      <c r="DD6" s="2">
        <v>1</v>
      </c>
      <c r="DE6" s="8">
        <v>0</v>
      </c>
      <c r="DF6" s="8">
        <v>5.0000000000000001E-4</v>
      </c>
      <c r="DG6" s="8">
        <v>8.9999999999999998E-4</v>
      </c>
      <c r="DH6" s="8">
        <v>1E-3</v>
      </c>
      <c r="DI6" s="8">
        <v>8.9999999999999998E-4</v>
      </c>
      <c r="DJ6" s="8">
        <v>5.0000000000000001E-4</v>
      </c>
      <c r="DK6" s="9">
        <v>0</v>
      </c>
      <c r="DL6" s="9">
        <v>-5.0000000000000001E-4</v>
      </c>
      <c r="DM6" s="9">
        <v>-8.9999999999999998E-4</v>
      </c>
      <c r="DN6" s="9">
        <v>-1E-3</v>
      </c>
      <c r="DO6" s="9">
        <v>-8.9999999999999998E-4</v>
      </c>
      <c r="DP6" s="9">
        <v>-5.0000000000000001E-4</v>
      </c>
    </row>
    <row r="7" spans="3:120" ht="16" thickBot="1" x14ac:dyDescent="0.4">
      <c r="C7" s="2">
        <v>2</v>
      </c>
      <c r="D7" s="8">
        <v>6.1000000000000004E-3</v>
      </c>
      <c r="E7" s="8">
        <v>9.1899999999999996E-2</v>
      </c>
      <c r="F7" s="8">
        <v>0.15310000000000001</v>
      </c>
      <c r="G7" s="8">
        <v>0.17330000000000001</v>
      </c>
      <c r="H7" s="8">
        <v>0.14710000000000001</v>
      </c>
      <c r="I7" s="8">
        <v>8.14E-2</v>
      </c>
      <c r="J7" s="9">
        <v>-6.1000000000000004E-3</v>
      </c>
      <c r="K7" s="9">
        <v>-9.1899999999999996E-2</v>
      </c>
      <c r="L7" s="9">
        <v>-0.15310000000000001</v>
      </c>
      <c r="M7" s="9">
        <v>-0.17330000000000001</v>
      </c>
      <c r="N7" s="9">
        <v>-0.14710000000000001</v>
      </c>
      <c r="O7" s="9">
        <v>-8.14E-2</v>
      </c>
      <c r="R7" s="2">
        <v>2</v>
      </c>
      <c r="S7" s="8">
        <v>1E-4</v>
      </c>
      <c r="T7" s="8">
        <v>1.1000000000000001E-3</v>
      </c>
      <c r="U7" s="8">
        <v>1.9E-3</v>
      </c>
      <c r="V7" s="8">
        <v>2.0999999999999999E-3</v>
      </c>
      <c r="W7" s="8">
        <v>1.8E-3</v>
      </c>
      <c r="X7" s="8">
        <v>1E-3</v>
      </c>
      <c r="Y7" s="9">
        <v>-1E-4</v>
      </c>
      <c r="Z7" s="9">
        <v>-1.1000000000000001E-3</v>
      </c>
      <c r="AA7" s="9">
        <v>-1.9E-3</v>
      </c>
      <c r="AB7" s="9">
        <v>-2.0999999999999999E-3</v>
      </c>
      <c r="AC7" s="9">
        <v>-1.8E-3</v>
      </c>
      <c r="AD7" s="9">
        <v>-1E-3</v>
      </c>
      <c r="AG7" s="13">
        <v>2</v>
      </c>
      <c r="AH7" s="13">
        <v>-1.4200000000000001E-2</v>
      </c>
      <c r="AI7" s="13">
        <v>-0.21560000000000001</v>
      </c>
      <c r="AJ7" s="13">
        <v>-0.35920000000000002</v>
      </c>
      <c r="AK7" s="13">
        <v>-0.40660000000000002</v>
      </c>
      <c r="AL7" s="13" t="s">
        <v>23</v>
      </c>
      <c r="AM7" s="13" t="s">
        <v>24</v>
      </c>
      <c r="AN7" s="13">
        <v>1.4200000000000001E-2</v>
      </c>
      <c r="AO7" s="13">
        <v>0.21560000000000001</v>
      </c>
      <c r="AP7" s="13">
        <v>0.35920000000000002</v>
      </c>
      <c r="AQ7" s="13">
        <v>0.40660000000000002</v>
      </c>
      <c r="AR7" s="13" t="s">
        <v>25</v>
      </c>
      <c r="AS7" s="13" t="s">
        <v>26</v>
      </c>
      <c r="AV7" s="13" t="s">
        <v>43</v>
      </c>
      <c r="AW7" s="13">
        <v>5.9999999999999995E-4</v>
      </c>
      <c r="AX7" s="13">
        <v>8.5000000000000006E-3</v>
      </c>
      <c r="AY7" s="13">
        <v>1.4200000000000001E-2</v>
      </c>
      <c r="AZ7" s="13">
        <v>1.61E-2</v>
      </c>
      <c r="BA7" s="13">
        <v>1.37E-2</v>
      </c>
      <c r="BB7" s="13">
        <v>7.6E-3</v>
      </c>
      <c r="BC7" s="13">
        <v>-5.9999999999999995E-4</v>
      </c>
      <c r="BD7" s="13">
        <v>-8.5000000000000006E-3</v>
      </c>
      <c r="BE7" s="13">
        <v>-1.4200000000000001E-2</v>
      </c>
      <c r="BF7" s="13">
        <v>-1.61E-2</v>
      </c>
      <c r="BG7" s="13">
        <v>-1.37E-2</v>
      </c>
      <c r="BH7" s="13">
        <v>-7.6E-3</v>
      </c>
      <c r="BK7" s="2">
        <v>2</v>
      </c>
      <c r="BL7" s="8">
        <v>-2.0000000000000001E-4</v>
      </c>
      <c r="BM7" s="8">
        <v>-2.7000000000000001E-3</v>
      </c>
      <c r="BN7" s="8">
        <v>-4.4999999999999997E-3</v>
      </c>
      <c r="BO7" s="8">
        <v>-5.1000000000000004E-3</v>
      </c>
      <c r="BP7" s="8">
        <v>-4.3E-3</v>
      </c>
      <c r="BQ7" s="8">
        <v>-2.3999999999999998E-3</v>
      </c>
      <c r="BR7" s="9">
        <v>2.0000000000000001E-4</v>
      </c>
      <c r="BS7" s="9">
        <v>2.7000000000000001E-3</v>
      </c>
      <c r="BT7" s="9">
        <v>4.4999999999999997E-3</v>
      </c>
      <c r="BU7" s="9">
        <v>5.1000000000000004E-3</v>
      </c>
      <c r="BV7" s="9">
        <v>4.3E-3</v>
      </c>
      <c r="BW7" s="9">
        <v>2.3999999999999998E-3</v>
      </c>
      <c r="BZ7" s="2">
        <v>2</v>
      </c>
      <c r="CA7" s="8">
        <v>-2.9999999999999997E-4</v>
      </c>
      <c r="CB7" s="8">
        <v>-3.8999999999999998E-3</v>
      </c>
      <c r="CC7" s="8">
        <v>-6.4999999999999997E-3</v>
      </c>
      <c r="CD7" s="8">
        <v>-7.4000000000000003E-3</v>
      </c>
      <c r="CE7" s="8">
        <v>-6.3E-3</v>
      </c>
      <c r="CF7" s="8">
        <v>-3.5000000000000001E-3</v>
      </c>
      <c r="CG7" s="9">
        <v>2.9999999999999997E-4</v>
      </c>
      <c r="CH7" s="9">
        <v>3.8999999999999998E-3</v>
      </c>
      <c r="CI7" s="9">
        <v>6.4999999999999997E-3</v>
      </c>
      <c r="CJ7" s="9">
        <v>7.4000000000000003E-3</v>
      </c>
      <c r="CK7" s="9">
        <v>6.3E-3</v>
      </c>
      <c r="CL7" s="9">
        <v>3.5000000000000001E-3</v>
      </c>
      <c r="CO7" s="2">
        <v>2</v>
      </c>
      <c r="CP7" s="8">
        <v>4.0000000000000002E-4</v>
      </c>
      <c r="CQ7" s="8">
        <v>5.4999999999999997E-3</v>
      </c>
      <c r="CR7" s="8">
        <v>9.1999999999999998E-3</v>
      </c>
      <c r="CS7" s="8">
        <v>1.04E-2</v>
      </c>
      <c r="CT7" s="8">
        <v>8.8000000000000005E-3</v>
      </c>
      <c r="CU7" s="8">
        <v>4.8999999999999998E-3</v>
      </c>
      <c r="CV7" s="9">
        <v>-4.0000000000000002E-4</v>
      </c>
      <c r="CW7" s="9">
        <v>-5.4999999999999997E-3</v>
      </c>
      <c r="CX7" s="9">
        <v>-9.1999999999999998E-3</v>
      </c>
      <c r="CY7" s="9">
        <v>-1.04E-2</v>
      </c>
      <c r="CZ7" s="9">
        <v>-8.8000000000000005E-3</v>
      </c>
      <c r="DA7" s="9">
        <v>-4.8999999999999998E-3</v>
      </c>
      <c r="DD7" s="2">
        <v>2</v>
      </c>
      <c r="DE7" s="8">
        <v>0</v>
      </c>
      <c r="DF7" s="8">
        <v>5.0000000000000001E-4</v>
      </c>
      <c r="DG7" s="8">
        <v>8.9999999999999998E-4</v>
      </c>
      <c r="DH7" s="8">
        <v>1E-3</v>
      </c>
      <c r="DI7" s="8">
        <v>8.0000000000000004E-4</v>
      </c>
      <c r="DJ7" s="8">
        <v>5.0000000000000001E-4</v>
      </c>
      <c r="DK7" s="9">
        <v>0</v>
      </c>
      <c r="DL7" s="9">
        <v>-5.0000000000000001E-4</v>
      </c>
      <c r="DM7" s="9">
        <v>-8.9999999999999998E-4</v>
      </c>
      <c r="DN7" s="9">
        <v>-1E-3</v>
      </c>
      <c r="DO7" s="9">
        <v>-8.0000000000000004E-4</v>
      </c>
      <c r="DP7" s="9">
        <v>-5.0000000000000001E-4</v>
      </c>
    </row>
    <row r="8" spans="3:120" ht="16" thickBot="1" x14ac:dyDescent="0.4">
      <c r="C8" s="2">
        <v>3</v>
      </c>
      <c r="D8" s="8">
        <v>9.1000000000000004E-3</v>
      </c>
      <c r="E8" s="8">
        <v>9.4399999999999998E-2</v>
      </c>
      <c r="F8" s="8">
        <v>0.1545</v>
      </c>
      <c r="G8" s="8">
        <v>0.17319999999999999</v>
      </c>
      <c r="H8" s="8">
        <v>0.1454</v>
      </c>
      <c r="I8" s="8">
        <v>7.8700000000000006E-2</v>
      </c>
      <c r="J8" s="9">
        <v>-9.1000000000000004E-3</v>
      </c>
      <c r="K8" s="9">
        <v>-9.4399999999999998E-2</v>
      </c>
      <c r="L8" s="9">
        <v>-0.1545</v>
      </c>
      <c r="M8" s="9">
        <v>-0.17319999999999999</v>
      </c>
      <c r="N8" s="9">
        <v>-0.1454</v>
      </c>
      <c r="O8" s="9">
        <v>-7.8700000000000006E-2</v>
      </c>
      <c r="R8" s="2">
        <v>3</v>
      </c>
      <c r="S8" s="8">
        <v>1E-4</v>
      </c>
      <c r="T8" s="8">
        <v>1.1000000000000001E-3</v>
      </c>
      <c r="U8" s="8">
        <v>1.9E-3</v>
      </c>
      <c r="V8" s="8">
        <v>2.0999999999999999E-3</v>
      </c>
      <c r="W8" s="8">
        <v>1.8E-3</v>
      </c>
      <c r="X8" s="8">
        <v>1E-3</v>
      </c>
      <c r="Y8" s="9">
        <v>-1E-4</v>
      </c>
      <c r="Z8" s="9">
        <v>-1.1000000000000001E-3</v>
      </c>
      <c r="AA8" s="9">
        <v>-1.9E-3</v>
      </c>
      <c r="AB8" s="9">
        <v>-2.0999999999999999E-3</v>
      </c>
      <c r="AC8" s="9">
        <v>-1.8E-3</v>
      </c>
      <c r="AD8" s="9">
        <v>-1E-3</v>
      </c>
      <c r="AG8" s="13">
        <v>3</v>
      </c>
      <c r="AH8" s="13">
        <v>-2.1299999999999999E-2</v>
      </c>
      <c r="AI8" s="13">
        <v>-0.22159999999999999</v>
      </c>
      <c r="AJ8" s="13">
        <v>-0.36249999999999999</v>
      </c>
      <c r="AK8" s="13">
        <v>-0.40620000000000001</v>
      </c>
      <c r="AL8" s="13">
        <v>-0.3412</v>
      </c>
      <c r="AM8" s="13">
        <v>-0.1847</v>
      </c>
      <c r="AN8" s="13">
        <v>2.1299999999999999E-2</v>
      </c>
      <c r="AO8" s="13">
        <v>0.22159999999999999</v>
      </c>
      <c r="AP8" s="13">
        <v>0.36249999999999999</v>
      </c>
      <c r="AQ8" s="13">
        <v>0.40620000000000001</v>
      </c>
      <c r="AR8" s="13">
        <v>0.3412</v>
      </c>
      <c r="AS8" s="13">
        <v>0.1847</v>
      </c>
      <c r="AV8" s="13" t="s">
        <v>44</v>
      </c>
      <c r="AW8" s="13">
        <v>8.0000000000000004E-4</v>
      </c>
      <c r="AX8" s="13">
        <v>8.8000000000000005E-3</v>
      </c>
      <c r="AY8" s="13">
        <v>1.43E-2</v>
      </c>
      <c r="AZ8" s="13">
        <v>1.61E-2</v>
      </c>
      <c r="BA8" s="13">
        <v>1.35E-2</v>
      </c>
      <c r="BB8" s="13">
        <v>7.3000000000000001E-3</v>
      </c>
      <c r="BC8" s="13">
        <v>-8.0000000000000004E-4</v>
      </c>
      <c r="BD8" s="13">
        <v>-8.8000000000000005E-3</v>
      </c>
      <c r="BE8" s="13">
        <v>-1.43E-2</v>
      </c>
      <c r="BF8" s="13">
        <v>-1.61E-2</v>
      </c>
      <c r="BG8" s="13">
        <v>-1.35E-2</v>
      </c>
      <c r="BH8" s="13">
        <v>-7.3000000000000001E-3</v>
      </c>
      <c r="BK8" s="2">
        <v>3</v>
      </c>
      <c r="BL8" s="8">
        <v>-2.9999999999999997E-4</v>
      </c>
      <c r="BM8" s="8">
        <v>-2.8E-3</v>
      </c>
      <c r="BN8" s="8">
        <v>-4.4999999999999997E-3</v>
      </c>
      <c r="BO8" s="8">
        <v>-5.1000000000000004E-3</v>
      </c>
      <c r="BP8" s="8">
        <v>-4.3E-3</v>
      </c>
      <c r="BQ8" s="8">
        <v>-2.3E-3</v>
      </c>
      <c r="BR8" s="9">
        <v>2.9999999999999997E-4</v>
      </c>
      <c r="BS8" s="9">
        <v>2.8E-3</v>
      </c>
      <c r="BT8" s="9">
        <v>4.4999999999999997E-3</v>
      </c>
      <c r="BU8" s="9">
        <v>5.1000000000000004E-3</v>
      </c>
      <c r="BV8" s="9">
        <v>4.3E-3</v>
      </c>
      <c r="BW8" s="9">
        <v>2.3E-3</v>
      </c>
      <c r="BZ8" s="2">
        <v>3</v>
      </c>
      <c r="CA8" s="8">
        <v>-4.0000000000000002E-4</v>
      </c>
      <c r="CB8" s="8">
        <v>-4.0000000000000001E-3</v>
      </c>
      <c r="CC8" s="8">
        <v>-6.6E-3</v>
      </c>
      <c r="CD8" s="8">
        <v>-7.4000000000000003E-3</v>
      </c>
      <c r="CE8" s="8">
        <v>-6.1999999999999998E-3</v>
      </c>
      <c r="CF8" s="8">
        <v>-3.3999999999999998E-3</v>
      </c>
      <c r="CG8" s="9">
        <v>4.0000000000000002E-4</v>
      </c>
      <c r="CH8" s="9">
        <v>4.0000000000000001E-3</v>
      </c>
      <c r="CI8" s="9">
        <v>6.6E-3</v>
      </c>
      <c r="CJ8" s="9">
        <v>7.4000000000000003E-3</v>
      </c>
      <c r="CK8" s="9">
        <v>6.1999999999999998E-3</v>
      </c>
      <c r="CL8" s="9">
        <v>3.3999999999999998E-3</v>
      </c>
      <c r="CO8" s="2">
        <v>3</v>
      </c>
      <c r="CP8" s="8">
        <v>5.0000000000000001E-4</v>
      </c>
      <c r="CQ8" s="8">
        <v>5.7000000000000002E-3</v>
      </c>
      <c r="CR8" s="8">
        <v>9.2999999999999992E-3</v>
      </c>
      <c r="CS8" s="8">
        <v>1.04E-2</v>
      </c>
      <c r="CT8" s="8">
        <v>8.6999999999999994E-3</v>
      </c>
      <c r="CU8" s="8">
        <v>4.7000000000000002E-3</v>
      </c>
      <c r="CV8" s="9">
        <v>-5.0000000000000001E-4</v>
      </c>
      <c r="CW8" s="9">
        <v>-5.7000000000000002E-3</v>
      </c>
      <c r="CX8" s="9">
        <v>-9.2999999999999992E-3</v>
      </c>
      <c r="CY8" s="9">
        <v>-1.04E-2</v>
      </c>
      <c r="CZ8" s="9">
        <v>-8.6999999999999994E-3</v>
      </c>
      <c r="DA8" s="9">
        <v>-4.7000000000000002E-3</v>
      </c>
      <c r="DD8" s="2">
        <v>3</v>
      </c>
      <c r="DE8" s="8">
        <v>1E-4</v>
      </c>
      <c r="DF8" s="8">
        <v>5.0000000000000001E-4</v>
      </c>
      <c r="DG8" s="8">
        <v>8.9999999999999998E-4</v>
      </c>
      <c r="DH8" s="8">
        <v>1E-3</v>
      </c>
      <c r="DI8" s="8">
        <v>8.0000000000000004E-4</v>
      </c>
      <c r="DJ8" s="8">
        <v>5.0000000000000001E-4</v>
      </c>
      <c r="DK8" s="9">
        <v>-1E-4</v>
      </c>
      <c r="DL8" s="9">
        <v>-5.0000000000000001E-4</v>
      </c>
      <c r="DM8" s="9">
        <v>-8.9999999999999998E-4</v>
      </c>
      <c r="DN8" s="9">
        <v>-1E-3</v>
      </c>
      <c r="DO8" s="9">
        <v>-8.0000000000000004E-4</v>
      </c>
      <c r="DP8" s="9">
        <v>-5.0000000000000001E-4</v>
      </c>
    </row>
    <row r="9" spans="3:120" ht="16" thickBot="1" x14ac:dyDescent="0.4">
      <c r="C9" s="2">
        <v>4</v>
      </c>
      <c r="D9" s="8">
        <v>1.21E-2</v>
      </c>
      <c r="E9" s="8">
        <v>9.7000000000000003E-2</v>
      </c>
      <c r="F9" s="8">
        <v>0.15590000000000001</v>
      </c>
      <c r="G9" s="8">
        <v>0.17299999999999999</v>
      </c>
      <c r="H9" s="8">
        <v>0.14380000000000001</v>
      </c>
      <c r="I9" s="8">
        <v>7.5999999999999998E-2</v>
      </c>
      <c r="J9" s="9">
        <v>-1.21E-2</v>
      </c>
      <c r="K9" s="9">
        <v>-9.7000000000000003E-2</v>
      </c>
      <c r="L9" s="9">
        <v>-0.15590000000000001</v>
      </c>
      <c r="M9" s="9">
        <v>-0.17299999999999999</v>
      </c>
      <c r="N9" s="9">
        <v>-0.14380000000000001</v>
      </c>
      <c r="O9" s="9">
        <v>-7.5999999999999998E-2</v>
      </c>
      <c r="R9" s="2">
        <v>4</v>
      </c>
      <c r="S9" s="8">
        <v>1E-4</v>
      </c>
      <c r="T9" s="8">
        <v>1.1999999999999999E-3</v>
      </c>
      <c r="U9" s="8">
        <v>1.9E-3</v>
      </c>
      <c r="V9" s="8">
        <v>2.0999999999999999E-3</v>
      </c>
      <c r="W9" s="8">
        <v>1.6999999999999999E-3</v>
      </c>
      <c r="X9" s="8">
        <v>8.9999999999999998E-4</v>
      </c>
      <c r="Y9" s="9">
        <v>-1E-4</v>
      </c>
      <c r="Z9" s="9">
        <v>-1.1999999999999999E-3</v>
      </c>
      <c r="AA9" s="9">
        <v>-1.9E-3</v>
      </c>
      <c r="AB9" s="9">
        <v>-2.0999999999999999E-3</v>
      </c>
      <c r="AC9" s="9">
        <v>-1.6999999999999999E-3</v>
      </c>
      <c r="AD9" s="9">
        <v>-8.9999999999999998E-4</v>
      </c>
      <c r="AG9" s="13">
        <v>4</v>
      </c>
      <c r="AH9" s="13">
        <v>-2.8400000000000002E-2</v>
      </c>
      <c r="AI9" s="13">
        <v>-0.22750000000000001</v>
      </c>
      <c r="AJ9" s="13">
        <v>-0.36559999999999998</v>
      </c>
      <c r="AK9" s="13">
        <v>-0.40579999999999999</v>
      </c>
      <c r="AL9" s="13">
        <v>-0.33729999999999999</v>
      </c>
      <c r="AM9" s="13">
        <v>-0.17829999999999999</v>
      </c>
      <c r="AN9" s="13">
        <v>2.8400000000000002E-2</v>
      </c>
      <c r="AO9" s="13">
        <v>0.22750000000000001</v>
      </c>
      <c r="AP9" s="13">
        <v>0.36559999999999998</v>
      </c>
      <c r="AQ9" s="13">
        <v>0.40579999999999999</v>
      </c>
      <c r="AR9" s="13">
        <v>0.33729999999999999</v>
      </c>
      <c r="AS9" s="13">
        <v>0.17829999999999999</v>
      </c>
      <c r="AV9" s="13" t="s">
        <v>45</v>
      </c>
      <c r="AW9" s="13">
        <v>1.1000000000000001E-3</v>
      </c>
      <c r="AX9" s="13" t="s">
        <v>46</v>
      </c>
      <c r="AY9" s="13">
        <v>1.4500000000000001E-2</v>
      </c>
      <c r="AZ9" s="13">
        <v>1.61E-2</v>
      </c>
      <c r="BA9" s="13">
        <v>1.3299999999999999E-2</v>
      </c>
      <c r="BB9" s="13">
        <v>7.1000000000000004E-3</v>
      </c>
      <c r="BC9" s="13">
        <v>-1.1000000000000001E-3</v>
      </c>
      <c r="BD9" s="13">
        <v>-8.9999999999999993E-3</v>
      </c>
      <c r="BE9" s="13">
        <v>-1.4500000000000001E-2</v>
      </c>
      <c r="BF9" s="13">
        <v>-1.61E-2</v>
      </c>
      <c r="BG9" s="13">
        <v>-1.3299999999999999E-2</v>
      </c>
      <c r="BH9" s="13">
        <v>-7.1000000000000004E-3</v>
      </c>
      <c r="BK9" s="2">
        <v>4</v>
      </c>
      <c r="BL9" s="8">
        <v>-4.0000000000000002E-4</v>
      </c>
      <c r="BM9" s="8">
        <v>-2.8999999999999998E-3</v>
      </c>
      <c r="BN9" s="8">
        <v>-4.5999999999999999E-3</v>
      </c>
      <c r="BO9" s="8">
        <v>-5.1000000000000004E-3</v>
      </c>
      <c r="BP9" s="8">
        <v>-4.1999999999999997E-3</v>
      </c>
      <c r="BQ9" s="8">
        <v>-2.2000000000000001E-3</v>
      </c>
      <c r="BR9" s="9">
        <v>4.0000000000000002E-4</v>
      </c>
      <c r="BS9" s="9">
        <v>2.8999999999999998E-3</v>
      </c>
      <c r="BT9" s="9">
        <v>4.5999999999999999E-3</v>
      </c>
      <c r="BU9" s="9">
        <v>5.1000000000000004E-3</v>
      </c>
      <c r="BV9" s="9">
        <v>4.1999999999999997E-3</v>
      </c>
      <c r="BW9" s="9">
        <v>2.2000000000000001E-3</v>
      </c>
      <c r="BZ9" s="2">
        <v>4</v>
      </c>
      <c r="CA9" s="8">
        <v>-5.0000000000000001E-4</v>
      </c>
      <c r="CB9" s="8">
        <v>-4.1000000000000003E-3</v>
      </c>
      <c r="CC9" s="8">
        <v>-6.7000000000000002E-3</v>
      </c>
      <c r="CD9" s="8">
        <v>-7.4000000000000003E-3</v>
      </c>
      <c r="CE9" s="8">
        <v>-6.1000000000000004E-3</v>
      </c>
      <c r="CF9" s="8">
        <v>-3.2000000000000002E-3</v>
      </c>
      <c r="CG9" s="9">
        <v>5.0000000000000001E-4</v>
      </c>
      <c r="CH9" s="9">
        <v>4.1000000000000003E-3</v>
      </c>
      <c r="CI9" s="9">
        <v>6.7000000000000002E-3</v>
      </c>
      <c r="CJ9" s="9">
        <v>7.4000000000000003E-3</v>
      </c>
      <c r="CK9" s="9">
        <v>6.1000000000000004E-3</v>
      </c>
      <c r="CL9" s="9">
        <v>3.2000000000000002E-3</v>
      </c>
      <c r="CO9" s="2">
        <v>4</v>
      </c>
      <c r="CP9" s="8">
        <v>6.9999999999999999E-4</v>
      </c>
      <c r="CQ9" s="8">
        <v>5.7999999999999996E-3</v>
      </c>
      <c r="CR9" s="8">
        <v>9.2999999999999992E-3</v>
      </c>
      <c r="CS9" s="8">
        <v>1.04E-2</v>
      </c>
      <c r="CT9" s="8">
        <v>8.6E-3</v>
      </c>
      <c r="CU9" s="8">
        <v>4.5999999999999999E-3</v>
      </c>
      <c r="CV9" s="9">
        <v>-6.9999999999999999E-4</v>
      </c>
      <c r="CW9" s="9">
        <v>-5.7999999999999996E-3</v>
      </c>
      <c r="CX9" s="9">
        <v>-9.2999999999999992E-3</v>
      </c>
      <c r="CY9" s="9">
        <v>-1.04E-2</v>
      </c>
      <c r="CZ9" s="9">
        <v>-8.6E-3</v>
      </c>
      <c r="DA9" s="9">
        <v>-4.5999999999999999E-3</v>
      </c>
      <c r="DD9" s="2">
        <v>4</v>
      </c>
      <c r="DE9" s="8">
        <v>1E-4</v>
      </c>
      <c r="DF9" s="8">
        <v>5.9999999999999995E-4</v>
      </c>
      <c r="DG9" s="8">
        <v>8.9999999999999998E-4</v>
      </c>
      <c r="DH9" s="8">
        <v>1E-3</v>
      </c>
      <c r="DI9" s="8">
        <v>8.0000000000000004E-4</v>
      </c>
      <c r="DJ9" s="8">
        <v>4.0000000000000002E-4</v>
      </c>
      <c r="DK9" s="9">
        <v>-1E-4</v>
      </c>
      <c r="DL9" s="9">
        <v>-5.9999999999999995E-4</v>
      </c>
      <c r="DM9" s="9">
        <v>-8.9999999999999998E-4</v>
      </c>
      <c r="DN9" s="9">
        <v>-1E-3</v>
      </c>
      <c r="DO9" s="9">
        <v>-8.0000000000000004E-4</v>
      </c>
      <c r="DP9" s="9">
        <v>-4.0000000000000002E-4</v>
      </c>
    </row>
    <row r="10" spans="3:120" ht="16" thickBot="1" x14ac:dyDescent="0.4">
      <c r="C10" s="2">
        <v>5</v>
      </c>
      <c r="D10" s="8">
        <v>1.5100000000000001E-2</v>
      </c>
      <c r="E10" s="8">
        <v>9.9500000000000005E-2</v>
      </c>
      <c r="F10" s="8">
        <v>0.15720000000000001</v>
      </c>
      <c r="G10" s="8">
        <v>0.17269999999999999</v>
      </c>
      <c r="H10" s="8">
        <v>0.14199999999999999</v>
      </c>
      <c r="I10" s="8">
        <v>7.3300000000000004E-2</v>
      </c>
      <c r="J10" s="9">
        <v>-1.5100000000000001E-2</v>
      </c>
      <c r="K10" s="9">
        <v>-9.9500000000000005E-2</v>
      </c>
      <c r="L10" s="9">
        <v>-0.15720000000000001</v>
      </c>
      <c r="M10" s="9">
        <v>-0.17269999999999999</v>
      </c>
      <c r="N10" s="9">
        <v>-0.14199999999999999</v>
      </c>
      <c r="O10" s="9">
        <v>-7.3300000000000004E-2</v>
      </c>
      <c r="R10" s="2">
        <v>5</v>
      </c>
      <c r="S10" s="8">
        <v>2.0000000000000001E-4</v>
      </c>
      <c r="T10" s="8">
        <v>1.1999999999999999E-3</v>
      </c>
      <c r="U10" s="8">
        <v>1.9E-3</v>
      </c>
      <c r="V10" s="8">
        <v>2.0999999999999999E-3</v>
      </c>
      <c r="W10" s="8">
        <v>1.6999999999999999E-3</v>
      </c>
      <c r="X10" s="8">
        <v>8.9999999999999998E-4</v>
      </c>
      <c r="Y10" s="9">
        <v>-2.0000000000000001E-4</v>
      </c>
      <c r="Z10" s="9">
        <v>-1.1999999999999999E-3</v>
      </c>
      <c r="AA10" s="9">
        <v>-1.9E-3</v>
      </c>
      <c r="AB10" s="9">
        <v>-2.0999999999999999E-3</v>
      </c>
      <c r="AC10" s="9">
        <v>-1.6999999999999999E-3</v>
      </c>
      <c r="AD10" s="9">
        <v>-8.9999999999999998E-4</v>
      </c>
      <c r="AG10" s="13">
        <v>5</v>
      </c>
      <c r="AH10" s="13">
        <v>-3.5499999999999997E-2</v>
      </c>
      <c r="AI10" s="13">
        <v>-0.23330000000000001</v>
      </c>
      <c r="AJ10" s="13">
        <v>-0.36870000000000003</v>
      </c>
      <c r="AK10" s="13">
        <v>-0.40529999999999999</v>
      </c>
      <c r="AL10" s="13">
        <v>-0.3332</v>
      </c>
      <c r="AM10" s="13">
        <v>-0.1719</v>
      </c>
      <c r="AN10" s="13">
        <v>3.5499999999999997E-2</v>
      </c>
      <c r="AO10" s="13">
        <v>0.23330000000000001</v>
      </c>
      <c r="AP10" s="13">
        <v>0.36870000000000003</v>
      </c>
      <c r="AQ10" s="13">
        <v>0.40529999999999999</v>
      </c>
      <c r="AR10" s="13">
        <v>0.3332</v>
      </c>
      <c r="AS10" s="13">
        <v>0.1719</v>
      </c>
      <c r="AV10" s="13" t="s">
        <v>47</v>
      </c>
      <c r="AW10" s="13">
        <v>1.4E-3</v>
      </c>
      <c r="AX10" s="13">
        <v>9.1999999999999998E-3</v>
      </c>
      <c r="AY10" s="13">
        <v>1.46E-2</v>
      </c>
      <c r="AZ10" s="13" t="s">
        <v>48</v>
      </c>
      <c r="BA10" s="13">
        <v>1.32E-2</v>
      </c>
      <c r="BB10" s="13">
        <v>6.7999999999999996E-3</v>
      </c>
      <c r="BC10" s="13">
        <v>-1.4E-3</v>
      </c>
      <c r="BD10" s="13">
        <v>-9.1999999999999998E-3</v>
      </c>
      <c r="BE10" s="13">
        <v>-1.46E-2</v>
      </c>
      <c r="BF10" s="13" t="s">
        <v>49</v>
      </c>
      <c r="BG10" s="13">
        <v>-1.32E-2</v>
      </c>
      <c r="BH10" s="13">
        <v>-6.7999999999999996E-3</v>
      </c>
      <c r="BK10" s="2">
        <v>5</v>
      </c>
      <c r="BL10" s="8">
        <v>-4.0000000000000002E-4</v>
      </c>
      <c r="BM10" s="8">
        <v>-2.8999999999999998E-3</v>
      </c>
      <c r="BN10" s="8">
        <v>-4.5999999999999999E-3</v>
      </c>
      <c r="BO10" s="8">
        <v>-5.1000000000000004E-3</v>
      </c>
      <c r="BP10" s="8">
        <v>-4.1999999999999997E-3</v>
      </c>
      <c r="BQ10" s="8">
        <v>-2.2000000000000001E-3</v>
      </c>
      <c r="BR10" s="9">
        <v>4.0000000000000002E-4</v>
      </c>
      <c r="BS10" s="9">
        <v>2.8999999999999998E-3</v>
      </c>
      <c r="BT10" s="9">
        <v>4.5999999999999999E-3</v>
      </c>
      <c r="BU10" s="9">
        <v>5.1000000000000004E-3</v>
      </c>
      <c r="BV10" s="9">
        <v>4.1999999999999997E-3</v>
      </c>
      <c r="BW10" s="9">
        <v>2.2000000000000001E-3</v>
      </c>
      <c r="BZ10" s="2">
        <v>5</v>
      </c>
      <c r="CA10" s="8">
        <v>-5.9999999999999995E-4</v>
      </c>
      <c r="CB10" s="8">
        <v>-4.1999999999999997E-3</v>
      </c>
      <c r="CC10" s="8">
        <v>-6.7000000000000002E-3</v>
      </c>
      <c r="CD10" s="8">
        <v>-7.4000000000000003E-3</v>
      </c>
      <c r="CE10" s="8">
        <v>-6.1000000000000004E-3</v>
      </c>
      <c r="CF10" s="8">
        <v>-3.0999999999999999E-3</v>
      </c>
      <c r="CG10" s="9">
        <v>5.9999999999999995E-4</v>
      </c>
      <c r="CH10" s="9">
        <v>4.1999999999999997E-3</v>
      </c>
      <c r="CI10" s="9">
        <v>6.7000000000000002E-3</v>
      </c>
      <c r="CJ10" s="9">
        <v>7.4000000000000003E-3</v>
      </c>
      <c r="CK10" s="9">
        <v>6.1000000000000004E-3</v>
      </c>
      <c r="CL10" s="9">
        <v>3.0999999999999999E-3</v>
      </c>
      <c r="CO10" s="2">
        <v>5</v>
      </c>
      <c r="CP10" s="8">
        <v>8.9999999999999998E-4</v>
      </c>
      <c r="CQ10" s="8">
        <v>6.0000000000000001E-3</v>
      </c>
      <c r="CR10" s="8">
        <v>9.4000000000000004E-3</v>
      </c>
      <c r="CS10" s="8">
        <v>1.04E-2</v>
      </c>
      <c r="CT10" s="8">
        <v>8.5000000000000006E-3</v>
      </c>
      <c r="CU10" s="8">
        <v>4.4000000000000003E-3</v>
      </c>
      <c r="CV10" s="9">
        <v>-8.9999999999999998E-4</v>
      </c>
      <c r="CW10" s="9">
        <v>-6.0000000000000001E-3</v>
      </c>
      <c r="CX10" s="9">
        <v>-9.4000000000000004E-3</v>
      </c>
      <c r="CY10" s="9">
        <v>-1.04E-2</v>
      </c>
      <c r="CZ10" s="9">
        <v>-8.5000000000000006E-3</v>
      </c>
      <c r="DA10" s="9">
        <v>-4.4000000000000003E-3</v>
      </c>
      <c r="DD10" s="2">
        <v>5</v>
      </c>
      <c r="DE10" s="8">
        <v>1E-4</v>
      </c>
      <c r="DF10" s="8">
        <v>5.9999999999999995E-4</v>
      </c>
      <c r="DG10" s="8">
        <v>8.9999999999999998E-4</v>
      </c>
      <c r="DH10" s="8">
        <v>1E-3</v>
      </c>
      <c r="DI10" s="8">
        <v>8.0000000000000004E-4</v>
      </c>
      <c r="DJ10" s="8">
        <v>4.0000000000000002E-4</v>
      </c>
      <c r="DK10" s="9">
        <v>-1E-4</v>
      </c>
      <c r="DL10" s="9">
        <v>-5.9999999999999995E-4</v>
      </c>
      <c r="DM10" s="9">
        <v>-8.9999999999999998E-4</v>
      </c>
      <c r="DN10" s="9">
        <v>-1E-3</v>
      </c>
      <c r="DO10" s="9">
        <v>-8.0000000000000004E-4</v>
      </c>
      <c r="DP10" s="9">
        <v>-4.0000000000000002E-4</v>
      </c>
    </row>
    <row r="11" spans="3:120" ht="16" thickBot="1" x14ac:dyDescent="0.4">
      <c r="C11" s="2">
        <v>6</v>
      </c>
      <c r="D11" s="8">
        <v>1.8100000000000002E-2</v>
      </c>
      <c r="E11" s="8">
        <v>0.1019</v>
      </c>
      <c r="F11" s="8">
        <v>0.15840000000000001</v>
      </c>
      <c r="G11" s="8">
        <v>0.17249999999999999</v>
      </c>
      <c r="H11" s="8">
        <v>0.14030000000000001</v>
      </c>
      <c r="I11" s="8">
        <v>7.0499999999999993E-2</v>
      </c>
      <c r="J11" s="9">
        <v>-1.8100000000000002E-2</v>
      </c>
      <c r="K11" s="9">
        <v>-0.1019</v>
      </c>
      <c r="L11" s="9">
        <v>-0.15840000000000001</v>
      </c>
      <c r="M11" s="9">
        <v>-0.17249999999999999</v>
      </c>
      <c r="N11" s="9">
        <v>-0.14030000000000001</v>
      </c>
      <c r="O11" s="9">
        <v>-7.0499999999999993E-2</v>
      </c>
      <c r="R11" s="2">
        <v>6</v>
      </c>
      <c r="S11" s="8">
        <v>2.0000000000000001E-4</v>
      </c>
      <c r="T11" s="8">
        <v>1.1999999999999999E-3</v>
      </c>
      <c r="U11" s="8">
        <v>1.9E-3</v>
      </c>
      <c r="V11" s="8">
        <v>2.0999999999999999E-3</v>
      </c>
      <c r="W11" s="8">
        <v>1.6999999999999999E-3</v>
      </c>
      <c r="X11" s="8">
        <v>8.9999999999999998E-4</v>
      </c>
      <c r="Y11" s="9">
        <v>-2.0000000000000001E-4</v>
      </c>
      <c r="Z11" s="9">
        <v>-1.1999999999999999E-3</v>
      </c>
      <c r="AA11" s="9">
        <v>-1.9E-3</v>
      </c>
      <c r="AB11" s="9">
        <v>-2.0999999999999999E-3</v>
      </c>
      <c r="AC11" s="9">
        <v>-1.6999999999999999E-3</v>
      </c>
      <c r="AD11" s="9">
        <v>-8.9999999999999998E-4</v>
      </c>
      <c r="AG11" s="13">
        <v>6</v>
      </c>
      <c r="AH11" s="13">
        <v>-4.2500000000000003E-2</v>
      </c>
      <c r="AI11" s="13">
        <v>-0.23910000000000001</v>
      </c>
      <c r="AJ11" s="13">
        <v>-0.37159999999999999</v>
      </c>
      <c r="AK11" s="13">
        <v>-0.40460000000000002</v>
      </c>
      <c r="AL11" s="13">
        <v>-0.3291</v>
      </c>
      <c r="AM11" s="13">
        <v>-0.16550000000000001</v>
      </c>
      <c r="AN11" s="13">
        <v>4.2500000000000003E-2</v>
      </c>
      <c r="AO11" s="13">
        <v>0.23910000000000001</v>
      </c>
      <c r="AP11" s="13">
        <v>0.37159999999999999</v>
      </c>
      <c r="AQ11" s="13">
        <v>0.40460000000000002</v>
      </c>
      <c r="AR11" s="13">
        <v>0.3291</v>
      </c>
      <c r="AS11" s="13">
        <v>0.16550000000000001</v>
      </c>
      <c r="AV11" s="13" t="s">
        <v>50</v>
      </c>
      <c r="AW11" s="13">
        <v>1.6999999999999999E-3</v>
      </c>
      <c r="AX11" s="13">
        <v>9.4999999999999998E-3</v>
      </c>
      <c r="AY11" s="13">
        <v>1.47E-2</v>
      </c>
      <c r="AZ11" s="13" t="s">
        <v>48</v>
      </c>
      <c r="BA11" s="13" t="s">
        <v>51</v>
      </c>
      <c r="BB11" s="13">
        <v>6.4999999999999997E-3</v>
      </c>
      <c r="BC11" s="13">
        <v>-1.6999999999999999E-3</v>
      </c>
      <c r="BD11" s="13">
        <v>-9.4999999999999998E-3</v>
      </c>
      <c r="BE11" s="13">
        <v>-1.47E-2</v>
      </c>
      <c r="BF11" s="13" t="s">
        <v>49</v>
      </c>
      <c r="BG11" s="13" t="s">
        <v>52</v>
      </c>
      <c r="BH11" s="13">
        <v>-6.4999999999999997E-3</v>
      </c>
      <c r="BK11" s="2">
        <v>6</v>
      </c>
      <c r="BL11" s="8">
        <v>-5.0000000000000001E-4</v>
      </c>
      <c r="BM11" s="8">
        <v>-3.0000000000000001E-3</v>
      </c>
      <c r="BN11" s="8">
        <v>-4.7000000000000002E-3</v>
      </c>
      <c r="BO11" s="8">
        <v>-5.1000000000000004E-3</v>
      </c>
      <c r="BP11" s="8">
        <v>-4.1000000000000003E-3</v>
      </c>
      <c r="BQ11" s="8">
        <v>-2.0999999999999999E-3</v>
      </c>
      <c r="BR11" s="9">
        <v>5.0000000000000001E-4</v>
      </c>
      <c r="BS11" s="9">
        <v>3.0000000000000001E-3</v>
      </c>
      <c r="BT11" s="9">
        <v>4.7000000000000002E-3</v>
      </c>
      <c r="BU11" s="9">
        <v>5.1000000000000004E-3</v>
      </c>
      <c r="BV11" s="9">
        <v>4.1000000000000003E-3</v>
      </c>
      <c r="BW11" s="9">
        <v>2.0999999999999999E-3</v>
      </c>
      <c r="BZ11" s="2">
        <v>6</v>
      </c>
      <c r="CA11" s="8">
        <v>-8.0000000000000004E-4</v>
      </c>
      <c r="CB11" s="8">
        <v>-4.3E-3</v>
      </c>
      <c r="CC11" s="8">
        <v>-6.7999999999999996E-3</v>
      </c>
      <c r="CD11" s="8">
        <v>-7.4000000000000003E-3</v>
      </c>
      <c r="CE11" s="8">
        <v>-6.0000000000000001E-3</v>
      </c>
      <c r="CF11" s="8">
        <v>-3.0000000000000001E-3</v>
      </c>
      <c r="CG11" s="9">
        <v>8.0000000000000004E-4</v>
      </c>
      <c r="CH11" s="9">
        <v>4.3E-3</v>
      </c>
      <c r="CI11" s="9">
        <v>6.7999999999999996E-3</v>
      </c>
      <c r="CJ11" s="9">
        <v>7.4000000000000003E-3</v>
      </c>
      <c r="CK11" s="9">
        <v>6.0000000000000001E-3</v>
      </c>
      <c r="CL11" s="9">
        <v>3.0000000000000001E-3</v>
      </c>
      <c r="CO11" s="2">
        <v>6</v>
      </c>
      <c r="CP11" s="8">
        <v>1.1000000000000001E-3</v>
      </c>
      <c r="CQ11" s="8">
        <v>6.1000000000000004E-3</v>
      </c>
      <c r="CR11" s="8">
        <v>9.4999999999999998E-3</v>
      </c>
      <c r="CS11" s="8">
        <v>1.03E-2</v>
      </c>
      <c r="CT11" s="8">
        <v>8.3999999999999995E-3</v>
      </c>
      <c r="CU11" s="8">
        <v>4.1999999999999997E-3</v>
      </c>
      <c r="CV11" s="9">
        <v>-1.1000000000000001E-3</v>
      </c>
      <c r="CW11" s="9">
        <v>-6.1000000000000004E-3</v>
      </c>
      <c r="CX11" s="9">
        <v>-9.4999999999999998E-3</v>
      </c>
      <c r="CY11" s="9">
        <v>-1.03E-2</v>
      </c>
      <c r="CZ11" s="9">
        <v>-8.3999999999999995E-3</v>
      </c>
      <c r="DA11" s="9">
        <v>-4.1999999999999997E-3</v>
      </c>
      <c r="DD11" s="2">
        <v>6</v>
      </c>
      <c r="DE11" s="8">
        <v>1E-4</v>
      </c>
      <c r="DF11" s="8">
        <v>5.9999999999999995E-4</v>
      </c>
      <c r="DG11" s="8">
        <v>8.9999999999999998E-4</v>
      </c>
      <c r="DH11" s="8">
        <v>1E-3</v>
      </c>
      <c r="DI11" s="8">
        <v>8.0000000000000004E-4</v>
      </c>
      <c r="DJ11" s="8">
        <v>4.0000000000000002E-4</v>
      </c>
      <c r="DK11" s="9">
        <v>-1E-4</v>
      </c>
      <c r="DL11" s="9">
        <v>-5.9999999999999995E-4</v>
      </c>
      <c r="DM11" s="9">
        <v>-8.9999999999999998E-4</v>
      </c>
      <c r="DN11" s="9">
        <v>-1E-3</v>
      </c>
      <c r="DO11" s="9">
        <v>-8.0000000000000004E-4</v>
      </c>
      <c r="DP11" s="9">
        <v>-4.0000000000000002E-4</v>
      </c>
    </row>
    <row r="12" spans="3:120" ht="16" thickBot="1" x14ac:dyDescent="0.4">
      <c r="C12" s="2">
        <v>7</v>
      </c>
      <c r="D12" s="8">
        <v>2.1100000000000001E-2</v>
      </c>
      <c r="E12" s="8">
        <v>0.10440000000000001</v>
      </c>
      <c r="F12" s="8">
        <v>0.15959999999999999</v>
      </c>
      <c r="G12" s="8">
        <v>0.1721</v>
      </c>
      <c r="H12" s="8">
        <v>0.13850000000000001</v>
      </c>
      <c r="I12" s="8">
        <v>6.7799999999999999E-2</v>
      </c>
      <c r="J12" s="9">
        <v>-2.1100000000000001E-2</v>
      </c>
      <c r="K12" s="9">
        <v>-0.10440000000000001</v>
      </c>
      <c r="L12" s="9">
        <v>-0.15959999999999999</v>
      </c>
      <c r="M12" s="9">
        <v>-0.1721</v>
      </c>
      <c r="N12" s="9">
        <v>-0.13850000000000001</v>
      </c>
      <c r="O12" s="9">
        <v>-6.7799999999999999E-2</v>
      </c>
      <c r="R12" s="2">
        <v>7</v>
      </c>
      <c r="S12" s="8">
        <v>2.9999999999999997E-4</v>
      </c>
      <c r="T12" s="8">
        <v>1.2999999999999999E-3</v>
      </c>
      <c r="U12" s="8">
        <v>1.9E-3</v>
      </c>
      <c r="V12" s="8">
        <v>2.0999999999999999E-3</v>
      </c>
      <c r="W12" s="8">
        <v>1.6999999999999999E-3</v>
      </c>
      <c r="X12" s="8">
        <v>8.0000000000000004E-4</v>
      </c>
      <c r="Y12" s="9">
        <v>-2.9999999999999997E-4</v>
      </c>
      <c r="Z12" s="9">
        <v>-1.2999999999999999E-3</v>
      </c>
      <c r="AA12" s="9">
        <v>-1.9E-3</v>
      </c>
      <c r="AB12" s="9">
        <v>-2.0999999999999999E-3</v>
      </c>
      <c r="AC12" s="9">
        <v>-1.6999999999999999E-3</v>
      </c>
      <c r="AD12" s="9">
        <v>-8.0000000000000004E-4</v>
      </c>
      <c r="AG12" s="13">
        <v>7</v>
      </c>
      <c r="AH12" s="13">
        <v>-4.9599999999999998E-2</v>
      </c>
      <c r="AI12" s="13">
        <v>-0.24479999999999999</v>
      </c>
      <c r="AJ12" s="13">
        <v>-0.3745</v>
      </c>
      <c r="AK12" s="13">
        <v>-0.40379999999999999</v>
      </c>
      <c r="AL12" s="13">
        <v>-0.32490000000000002</v>
      </c>
      <c r="AM12" s="13">
        <v>-0.15890000000000001</v>
      </c>
      <c r="AN12" s="13">
        <v>4.9599999999999998E-2</v>
      </c>
      <c r="AO12" s="13">
        <v>0.24479999999999999</v>
      </c>
      <c r="AP12" s="13">
        <v>0.3745</v>
      </c>
      <c r="AQ12" s="13">
        <v>0.40379999999999999</v>
      </c>
      <c r="AR12" s="13">
        <v>0.32490000000000002</v>
      </c>
      <c r="AS12" s="13">
        <v>0.15890000000000001</v>
      </c>
      <c r="AV12" s="13" t="s">
        <v>53</v>
      </c>
      <c r="AW12" s="13" t="s">
        <v>54</v>
      </c>
      <c r="AX12" s="13">
        <v>9.7000000000000003E-3</v>
      </c>
      <c r="AY12" s="13">
        <v>1.4800000000000001E-2</v>
      </c>
      <c r="AZ12" s="13" t="s">
        <v>48</v>
      </c>
      <c r="BA12" s="13">
        <v>1.29E-2</v>
      </c>
      <c r="BB12" s="13">
        <v>6.3E-3</v>
      </c>
      <c r="BC12" s="13" t="s">
        <v>55</v>
      </c>
      <c r="BD12" s="13">
        <v>-9.7000000000000003E-3</v>
      </c>
      <c r="BE12" s="13">
        <v>-1.4800000000000001E-2</v>
      </c>
      <c r="BF12" s="13" t="s">
        <v>49</v>
      </c>
      <c r="BG12" s="13">
        <v>-1.29E-2</v>
      </c>
      <c r="BH12" s="13">
        <v>-6.3E-3</v>
      </c>
      <c r="BK12" s="2">
        <v>7</v>
      </c>
      <c r="BL12" s="8">
        <v>-5.9999999999999995E-4</v>
      </c>
      <c r="BM12" s="8">
        <v>-3.0999999999999999E-3</v>
      </c>
      <c r="BN12" s="8">
        <v>-4.7000000000000002E-3</v>
      </c>
      <c r="BO12" s="8">
        <v>-5.1000000000000004E-3</v>
      </c>
      <c r="BP12" s="8">
        <v>-4.1000000000000003E-3</v>
      </c>
      <c r="BQ12" s="8">
        <v>-2E-3</v>
      </c>
      <c r="BR12" s="9">
        <v>5.9999999999999995E-4</v>
      </c>
      <c r="BS12" s="9">
        <v>3.0999999999999999E-3</v>
      </c>
      <c r="BT12" s="9">
        <v>4.7000000000000002E-3</v>
      </c>
      <c r="BU12" s="9">
        <v>5.1000000000000004E-3</v>
      </c>
      <c r="BV12" s="9">
        <v>4.1000000000000003E-3</v>
      </c>
      <c r="BW12" s="9">
        <v>2E-3</v>
      </c>
      <c r="BZ12" s="2">
        <v>7</v>
      </c>
      <c r="CA12" s="8">
        <v>-8.9999999999999998E-4</v>
      </c>
      <c r="CB12" s="8">
        <v>-4.4999999999999997E-3</v>
      </c>
      <c r="CC12" s="8">
        <v>-6.7999999999999996E-3</v>
      </c>
      <c r="CD12" s="8">
        <v>-7.3000000000000001E-3</v>
      </c>
      <c r="CE12" s="8">
        <v>-5.8999999999999999E-3</v>
      </c>
      <c r="CF12" s="8">
        <v>-2.8999999999999998E-3</v>
      </c>
      <c r="CG12" s="9">
        <v>8.9999999999999998E-4</v>
      </c>
      <c r="CH12" s="9">
        <v>4.4999999999999997E-3</v>
      </c>
      <c r="CI12" s="9">
        <v>6.7999999999999996E-3</v>
      </c>
      <c r="CJ12" s="9">
        <v>7.3000000000000001E-3</v>
      </c>
      <c r="CK12" s="9">
        <v>5.8999999999999999E-3</v>
      </c>
      <c r="CL12" s="9">
        <v>2.8999999999999998E-3</v>
      </c>
      <c r="CO12" s="2">
        <v>7</v>
      </c>
      <c r="CP12" s="8">
        <v>1.2999999999999999E-3</v>
      </c>
      <c r="CQ12" s="8">
        <v>6.3E-3</v>
      </c>
      <c r="CR12" s="8">
        <v>9.5999999999999992E-3</v>
      </c>
      <c r="CS12" s="8">
        <v>1.03E-2</v>
      </c>
      <c r="CT12" s="8">
        <v>8.3000000000000001E-3</v>
      </c>
      <c r="CU12" s="8">
        <v>4.1000000000000003E-3</v>
      </c>
      <c r="CV12" s="9">
        <v>-1.2999999999999999E-3</v>
      </c>
      <c r="CW12" s="9">
        <v>-6.3E-3</v>
      </c>
      <c r="CX12" s="9">
        <v>-9.5999999999999992E-3</v>
      </c>
      <c r="CY12" s="9">
        <v>-1.03E-2</v>
      </c>
      <c r="CZ12" s="9">
        <v>-8.3000000000000001E-3</v>
      </c>
      <c r="DA12" s="9">
        <v>-4.1000000000000003E-3</v>
      </c>
      <c r="DD12" s="2">
        <v>7</v>
      </c>
      <c r="DE12" s="8">
        <v>1E-4</v>
      </c>
      <c r="DF12" s="8">
        <v>5.9999999999999995E-4</v>
      </c>
      <c r="DG12" s="8">
        <v>8.9999999999999998E-4</v>
      </c>
      <c r="DH12" s="8">
        <v>1E-3</v>
      </c>
      <c r="DI12" s="8">
        <v>8.0000000000000004E-4</v>
      </c>
      <c r="DJ12" s="8">
        <v>4.0000000000000002E-4</v>
      </c>
      <c r="DK12" s="9">
        <v>-1E-4</v>
      </c>
      <c r="DL12" s="9">
        <v>-5.9999999999999995E-4</v>
      </c>
      <c r="DM12" s="9">
        <v>-8.9999999999999998E-4</v>
      </c>
      <c r="DN12" s="9">
        <v>-1E-3</v>
      </c>
      <c r="DO12" s="9">
        <v>-8.0000000000000004E-4</v>
      </c>
      <c r="DP12" s="9">
        <v>-4.0000000000000002E-4</v>
      </c>
    </row>
    <row r="13" spans="3:120" ht="16" thickBot="1" x14ac:dyDescent="0.4">
      <c r="C13" s="2">
        <v>8</v>
      </c>
      <c r="D13" s="8">
        <v>2.41E-2</v>
      </c>
      <c r="E13" s="8">
        <v>0.10680000000000001</v>
      </c>
      <c r="F13" s="8">
        <v>0.1608</v>
      </c>
      <c r="G13" s="8">
        <v>0.17169999999999999</v>
      </c>
      <c r="H13" s="8">
        <v>0.1366</v>
      </c>
      <c r="I13" s="8">
        <v>6.5000000000000002E-2</v>
      </c>
      <c r="J13" s="9">
        <v>-2.41E-2</v>
      </c>
      <c r="K13" s="9">
        <v>-0.10680000000000001</v>
      </c>
      <c r="L13" s="9">
        <v>-0.1608</v>
      </c>
      <c r="M13" s="9">
        <v>-0.17169999999999999</v>
      </c>
      <c r="N13" s="9">
        <v>-0.1366</v>
      </c>
      <c r="O13" s="9">
        <v>-6.5000000000000002E-2</v>
      </c>
      <c r="R13" s="2">
        <v>8</v>
      </c>
      <c r="S13" s="8">
        <v>2.9999999999999997E-4</v>
      </c>
      <c r="T13" s="8">
        <v>1.2999999999999999E-3</v>
      </c>
      <c r="U13" s="8">
        <v>1.9E-3</v>
      </c>
      <c r="V13" s="8">
        <v>2.0999999999999999E-3</v>
      </c>
      <c r="W13" s="8">
        <v>1.6999999999999999E-3</v>
      </c>
      <c r="X13" s="8">
        <v>8.0000000000000004E-4</v>
      </c>
      <c r="Y13" s="9">
        <v>-2.9999999999999997E-4</v>
      </c>
      <c r="Z13" s="9">
        <v>-1.2999999999999999E-3</v>
      </c>
      <c r="AA13" s="9">
        <v>-1.9E-3</v>
      </c>
      <c r="AB13" s="9">
        <v>-2.0999999999999999E-3</v>
      </c>
      <c r="AC13" s="9">
        <v>-1.6999999999999999E-3</v>
      </c>
      <c r="AD13" s="9">
        <v>-8.0000000000000004E-4</v>
      </c>
      <c r="AG13" s="13">
        <v>8</v>
      </c>
      <c r="AH13" s="13">
        <v>-5.6599999999999998E-2</v>
      </c>
      <c r="AI13" s="13">
        <v>-0.2505</v>
      </c>
      <c r="AJ13" s="13">
        <v>-0.37719999999999998</v>
      </c>
      <c r="AK13" s="13">
        <v>-0.40279999999999999</v>
      </c>
      <c r="AL13" s="13">
        <v>-0.3206</v>
      </c>
      <c r="AM13" s="13">
        <v>-0.15240000000000001</v>
      </c>
      <c r="AN13" s="13">
        <v>5.6599999999999998E-2</v>
      </c>
      <c r="AO13" s="13">
        <v>0.2505</v>
      </c>
      <c r="AP13" s="13">
        <v>0.37719999999999998</v>
      </c>
      <c r="AQ13" s="13">
        <v>0.40279999999999999</v>
      </c>
      <c r="AR13" s="13">
        <v>0.3206</v>
      </c>
      <c r="AS13" s="13">
        <v>0.15240000000000001</v>
      </c>
      <c r="AV13" s="13" t="s">
        <v>56</v>
      </c>
      <c r="AW13" s="13">
        <v>2.2000000000000001E-3</v>
      </c>
      <c r="AX13" s="13">
        <v>9.9000000000000008E-3</v>
      </c>
      <c r="AY13" s="13">
        <v>1.49E-2</v>
      </c>
      <c r="AZ13" s="13">
        <v>1.5900000000000001E-2</v>
      </c>
      <c r="BA13" s="13">
        <v>1.2699999999999999E-2</v>
      </c>
      <c r="BB13" s="13" t="s">
        <v>57</v>
      </c>
      <c r="BC13" s="13">
        <v>-2.2000000000000001E-3</v>
      </c>
      <c r="BD13" s="13">
        <v>-9.9000000000000008E-3</v>
      </c>
      <c r="BE13" s="13">
        <v>-1.49E-2</v>
      </c>
      <c r="BF13" s="13">
        <v>-1.5900000000000001E-2</v>
      </c>
      <c r="BG13" s="13">
        <v>-1.2699999999999999E-2</v>
      </c>
      <c r="BH13" s="13" t="s">
        <v>58</v>
      </c>
      <c r="BK13" s="2">
        <v>8</v>
      </c>
      <c r="BL13" s="8">
        <v>-6.9999999999999999E-4</v>
      </c>
      <c r="BM13" s="8">
        <v>-3.0999999999999999E-3</v>
      </c>
      <c r="BN13" s="8">
        <v>-4.7000000000000002E-3</v>
      </c>
      <c r="BO13" s="8">
        <v>-5.1000000000000004E-3</v>
      </c>
      <c r="BP13" s="8">
        <v>-4.0000000000000001E-3</v>
      </c>
      <c r="BQ13" s="8">
        <v>-1.9E-3</v>
      </c>
      <c r="BR13" s="9">
        <v>6.9999999999999999E-4</v>
      </c>
      <c r="BS13" s="9">
        <v>3.0999999999999999E-3</v>
      </c>
      <c r="BT13" s="9">
        <v>4.7000000000000002E-3</v>
      </c>
      <c r="BU13" s="9">
        <v>5.1000000000000004E-3</v>
      </c>
      <c r="BV13" s="9">
        <v>4.0000000000000001E-3</v>
      </c>
      <c r="BW13" s="9">
        <v>1.9E-3</v>
      </c>
      <c r="BZ13" s="2">
        <v>8</v>
      </c>
      <c r="CA13" s="8">
        <v>-1E-3</v>
      </c>
      <c r="CB13" s="8">
        <v>-4.5999999999999999E-3</v>
      </c>
      <c r="CC13" s="8">
        <v>-6.8999999999999999E-3</v>
      </c>
      <c r="CD13" s="8">
        <v>-7.3000000000000001E-3</v>
      </c>
      <c r="CE13" s="8">
        <v>-5.7999999999999996E-3</v>
      </c>
      <c r="CF13" s="8">
        <v>-2.8E-3</v>
      </c>
      <c r="CG13" s="9">
        <v>1E-3</v>
      </c>
      <c r="CH13" s="9">
        <v>4.5999999999999999E-3</v>
      </c>
      <c r="CI13" s="9">
        <v>6.8999999999999999E-3</v>
      </c>
      <c r="CJ13" s="9">
        <v>7.3000000000000001E-3</v>
      </c>
      <c r="CK13" s="9">
        <v>5.7999999999999996E-3</v>
      </c>
      <c r="CL13" s="9">
        <v>2.8E-3</v>
      </c>
      <c r="CO13" s="2">
        <v>8</v>
      </c>
      <c r="CP13" s="8">
        <v>1.4E-3</v>
      </c>
      <c r="CQ13" s="8">
        <v>6.4000000000000003E-3</v>
      </c>
      <c r="CR13" s="8">
        <v>9.5999999999999992E-3</v>
      </c>
      <c r="CS13" s="8">
        <v>1.03E-2</v>
      </c>
      <c r="CT13" s="8">
        <v>8.2000000000000007E-3</v>
      </c>
      <c r="CU13" s="8">
        <v>3.8999999999999998E-3</v>
      </c>
      <c r="CV13" s="9">
        <v>-1.4E-3</v>
      </c>
      <c r="CW13" s="9">
        <v>-6.4000000000000003E-3</v>
      </c>
      <c r="CX13" s="9">
        <v>-9.5999999999999992E-3</v>
      </c>
      <c r="CY13" s="9">
        <v>-1.03E-2</v>
      </c>
      <c r="CZ13" s="9">
        <v>-8.2000000000000007E-3</v>
      </c>
      <c r="DA13" s="9">
        <v>-3.8999999999999998E-3</v>
      </c>
      <c r="DD13" s="2">
        <v>8</v>
      </c>
      <c r="DE13" s="8">
        <v>1E-4</v>
      </c>
      <c r="DF13" s="8">
        <v>5.9999999999999995E-4</v>
      </c>
      <c r="DG13" s="8">
        <v>8.9999999999999998E-4</v>
      </c>
      <c r="DH13" s="8">
        <v>1E-3</v>
      </c>
      <c r="DI13" s="8">
        <v>8.0000000000000004E-4</v>
      </c>
      <c r="DJ13" s="8">
        <v>4.0000000000000002E-4</v>
      </c>
      <c r="DK13" s="9">
        <v>-1E-4</v>
      </c>
      <c r="DL13" s="9">
        <v>-5.9999999999999995E-4</v>
      </c>
      <c r="DM13" s="9">
        <v>-8.9999999999999998E-4</v>
      </c>
      <c r="DN13" s="9">
        <v>-1E-3</v>
      </c>
      <c r="DO13" s="9">
        <v>-8.0000000000000004E-4</v>
      </c>
      <c r="DP13" s="9">
        <v>-4.0000000000000002E-4</v>
      </c>
    </row>
    <row r="14" spans="3:120" ht="16" thickBot="1" x14ac:dyDescent="0.4">
      <c r="C14" s="2">
        <v>9</v>
      </c>
      <c r="D14" s="8">
        <v>2.7099999999999999E-2</v>
      </c>
      <c r="E14" s="8">
        <v>0.1091</v>
      </c>
      <c r="F14" s="8">
        <v>0.16189999999999999</v>
      </c>
      <c r="G14" s="8">
        <v>0.17130000000000001</v>
      </c>
      <c r="H14" s="8">
        <v>0.1348</v>
      </c>
      <c r="I14" s="8">
        <v>6.2100000000000002E-2</v>
      </c>
      <c r="J14" s="9">
        <v>-2.7099999999999999E-2</v>
      </c>
      <c r="K14" s="9">
        <v>-0.1091</v>
      </c>
      <c r="L14" s="9">
        <v>-0.16189999999999999</v>
      </c>
      <c r="M14" s="9">
        <v>-0.17130000000000001</v>
      </c>
      <c r="N14" s="9">
        <v>-0.1348</v>
      </c>
      <c r="O14" s="9">
        <v>-6.2100000000000002E-2</v>
      </c>
      <c r="R14" s="2">
        <v>9</v>
      </c>
      <c r="S14" s="8">
        <v>2.9999999999999997E-4</v>
      </c>
      <c r="T14" s="8">
        <v>1.2999999999999999E-3</v>
      </c>
      <c r="U14" s="8">
        <v>2E-3</v>
      </c>
      <c r="V14" s="8">
        <v>2.0999999999999999E-3</v>
      </c>
      <c r="W14" s="8">
        <v>1.6000000000000001E-3</v>
      </c>
      <c r="X14" s="8">
        <v>8.0000000000000004E-4</v>
      </c>
      <c r="Y14" s="9">
        <v>-2.9999999999999997E-4</v>
      </c>
      <c r="Z14" s="9">
        <v>-1.2999999999999999E-3</v>
      </c>
      <c r="AA14" s="9">
        <v>-2E-3</v>
      </c>
      <c r="AB14" s="9">
        <v>-2.0999999999999999E-3</v>
      </c>
      <c r="AC14" s="9">
        <v>-1.6000000000000001E-3</v>
      </c>
      <c r="AD14" s="9">
        <v>-8.0000000000000004E-4</v>
      </c>
      <c r="AG14" s="13">
        <v>9</v>
      </c>
      <c r="AH14" s="13">
        <v>-6.3600000000000004E-2</v>
      </c>
      <c r="AI14" s="13">
        <v>-0.25600000000000001</v>
      </c>
      <c r="AJ14" s="13">
        <v>-0.37980000000000003</v>
      </c>
      <c r="AK14" s="13">
        <v>-0.40179999999999999</v>
      </c>
      <c r="AL14" s="13">
        <v>-0.31609999999999999</v>
      </c>
      <c r="AM14" s="13">
        <v>-0.14580000000000001</v>
      </c>
      <c r="AN14" s="13">
        <v>6.3600000000000004E-2</v>
      </c>
      <c r="AO14" s="13" t="s">
        <v>27</v>
      </c>
      <c r="AP14" s="13">
        <v>0.37980000000000003</v>
      </c>
      <c r="AQ14" s="13">
        <v>0.40179999999999999</v>
      </c>
      <c r="AR14" s="13">
        <v>0.31609999999999999</v>
      </c>
      <c r="AS14" s="13">
        <v>0.14580000000000001</v>
      </c>
      <c r="AV14" s="13" t="s">
        <v>59</v>
      </c>
      <c r="AW14" s="13">
        <v>2.5000000000000001E-3</v>
      </c>
      <c r="AX14" s="13">
        <v>1.01E-2</v>
      </c>
      <c r="AY14" s="13" t="s">
        <v>60</v>
      </c>
      <c r="AZ14" s="13">
        <v>1.5900000000000001E-2</v>
      </c>
      <c r="BA14" s="13">
        <v>1.2500000000000001E-2</v>
      </c>
      <c r="BB14" s="13">
        <v>5.7999999999999996E-3</v>
      </c>
      <c r="BC14" s="13">
        <v>-2.5000000000000001E-3</v>
      </c>
      <c r="BD14" s="13">
        <v>-1.01E-2</v>
      </c>
      <c r="BE14" s="13" t="s">
        <v>61</v>
      </c>
      <c r="BF14" s="13">
        <v>-1.5900000000000001E-2</v>
      </c>
      <c r="BG14" s="13">
        <v>-1.2500000000000001E-2</v>
      </c>
      <c r="BH14" s="13">
        <v>-5.7999999999999996E-3</v>
      </c>
      <c r="BK14" s="2">
        <v>9</v>
      </c>
      <c r="BL14" s="8">
        <v>-8.0000000000000004E-4</v>
      </c>
      <c r="BM14" s="8">
        <v>-3.2000000000000002E-3</v>
      </c>
      <c r="BN14" s="8">
        <v>-4.7999999999999996E-3</v>
      </c>
      <c r="BO14" s="8">
        <v>-5.0000000000000001E-3</v>
      </c>
      <c r="BP14" s="8">
        <v>-4.0000000000000001E-3</v>
      </c>
      <c r="BQ14" s="8">
        <v>-1.8E-3</v>
      </c>
      <c r="BR14" s="9">
        <v>8.0000000000000004E-4</v>
      </c>
      <c r="BS14" s="9">
        <v>3.2000000000000002E-3</v>
      </c>
      <c r="BT14" s="9">
        <v>4.7999999999999996E-3</v>
      </c>
      <c r="BU14" s="9">
        <v>5.0000000000000001E-3</v>
      </c>
      <c r="BV14" s="9">
        <v>4.0000000000000001E-3</v>
      </c>
      <c r="BW14" s="9">
        <v>1.8E-3</v>
      </c>
      <c r="BZ14" s="2">
        <v>9</v>
      </c>
      <c r="CA14" s="8">
        <v>-1.1999999999999999E-3</v>
      </c>
      <c r="CB14" s="8">
        <v>-4.7000000000000002E-3</v>
      </c>
      <c r="CC14" s="8">
        <v>-6.8999999999999999E-3</v>
      </c>
      <c r="CD14" s="8">
        <v>-7.3000000000000001E-3</v>
      </c>
      <c r="CE14" s="8">
        <v>-5.7999999999999996E-3</v>
      </c>
      <c r="CF14" s="8">
        <v>-2.7000000000000001E-3</v>
      </c>
      <c r="CG14" s="9">
        <v>1.1999999999999999E-3</v>
      </c>
      <c r="CH14" s="9">
        <v>4.7000000000000002E-3</v>
      </c>
      <c r="CI14" s="9">
        <v>6.8999999999999999E-3</v>
      </c>
      <c r="CJ14" s="9">
        <v>7.3000000000000001E-3</v>
      </c>
      <c r="CK14" s="9">
        <v>5.7999999999999996E-3</v>
      </c>
      <c r="CL14" s="9">
        <v>2.7000000000000001E-3</v>
      </c>
      <c r="CO14" s="2">
        <v>9</v>
      </c>
      <c r="CP14" s="8">
        <v>1.6000000000000001E-3</v>
      </c>
      <c r="CQ14" s="8">
        <v>6.4999999999999997E-3</v>
      </c>
      <c r="CR14" s="8">
        <v>9.7000000000000003E-3</v>
      </c>
      <c r="CS14" s="8">
        <v>1.03E-2</v>
      </c>
      <c r="CT14" s="8">
        <v>8.0999999999999996E-3</v>
      </c>
      <c r="CU14" s="8">
        <v>3.7000000000000002E-3</v>
      </c>
      <c r="CV14" s="9">
        <v>-1.6000000000000001E-3</v>
      </c>
      <c r="CW14" s="9">
        <v>-6.4999999999999997E-3</v>
      </c>
      <c r="CX14" s="9">
        <v>-9.7000000000000003E-3</v>
      </c>
      <c r="CY14" s="9">
        <v>-1.03E-2</v>
      </c>
      <c r="CZ14" s="9">
        <v>-8.0999999999999996E-3</v>
      </c>
      <c r="DA14" s="9">
        <v>-3.7000000000000002E-3</v>
      </c>
      <c r="DD14" s="2">
        <v>9</v>
      </c>
      <c r="DE14" s="8">
        <v>2.0000000000000001E-4</v>
      </c>
      <c r="DF14" s="8">
        <v>5.9999999999999995E-4</v>
      </c>
      <c r="DG14" s="8">
        <v>8.9999999999999998E-4</v>
      </c>
      <c r="DH14" s="8">
        <v>1E-3</v>
      </c>
      <c r="DI14" s="8">
        <v>8.0000000000000004E-4</v>
      </c>
      <c r="DJ14" s="8">
        <v>4.0000000000000002E-4</v>
      </c>
      <c r="DK14" s="9">
        <v>-2.0000000000000001E-4</v>
      </c>
      <c r="DL14" s="9">
        <v>-5.9999999999999995E-4</v>
      </c>
      <c r="DM14" s="9">
        <v>-8.9999999999999998E-4</v>
      </c>
      <c r="DN14" s="9">
        <v>-1E-3</v>
      </c>
      <c r="DO14" s="9">
        <v>-8.0000000000000004E-4</v>
      </c>
      <c r="DP14" s="9">
        <v>-4.0000000000000002E-4</v>
      </c>
    </row>
    <row r="15" spans="3:120" ht="16" thickBot="1" x14ac:dyDescent="0.4">
      <c r="C15" s="2">
        <v>10</v>
      </c>
      <c r="D15" s="8">
        <v>3.0099999999999998E-2</v>
      </c>
      <c r="E15" s="8">
        <v>0.1115</v>
      </c>
      <c r="F15" s="8">
        <v>0.16289999999999999</v>
      </c>
      <c r="G15" s="8">
        <v>0.17080000000000001</v>
      </c>
      <c r="H15" s="8">
        <v>0.1328</v>
      </c>
      <c r="I15" s="8">
        <v>5.9299999999999999E-2</v>
      </c>
      <c r="J15" s="9">
        <v>-3.0099999999999998E-2</v>
      </c>
      <c r="K15" s="9">
        <v>-0.1115</v>
      </c>
      <c r="L15" s="9">
        <v>-0.16289999999999999</v>
      </c>
      <c r="M15" s="9">
        <v>-0.17080000000000001</v>
      </c>
      <c r="N15" s="9">
        <v>-0.1328</v>
      </c>
      <c r="O15" s="9">
        <v>-5.9299999999999999E-2</v>
      </c>
      <c r="R15" s="2">
        <v>10</v>
      </c>
      <c r="S15" s="8">
        <v>4.0000000000000002E-4</v>
      </c>
      <c r="T15" s="8">
        <v>1.2999999999999999E-3</v>
      </c>
      <c r="U15" s="8">
        <v>2E-3</v>
      </c>
      <c r="V15" s="8">
        <v>2.0999999999999999E-3</v>
      </c>
      <c r="W15" s="8">
        <v>1.6000000000000001E-3</v>
      </c>
      <c r="X15" s="8">
        <v>6.9999999999999999E-4</v>
      </c>
      <c r="Y15" s="9">
        <v>-4.0000000000000002E-4</v>
      </c>
      <c r="Z15" s="9">
        <v>-1.2999999999999999E-3</v>
      </c>
      <c r="AA15" s="9">
        <v>-2E-3</v>
      </c>
      <c r="AB15" s="9">
        <v>-2.0999999999999999E-3</v>
      </c>
      <c r="AC15" s="9">
        <v>-1.6000000000000001E-3</v>
      </c>
      <c r="AD15" s="9">
        <v>-6.9999999999999999E-4</v>
      </c>
      <c r="AG15" s="13">
        <v>10</v>
      </c>
      <c r="AH15" s="13">
        <v>-7.0599999999999996E-2</v>
      </c>
      <c r="AI15" s="13">
        <v>-0.26150000000000001</v>
      </c>
      <c r="AJ15" s="13">
        <v>-0.38229999999999997</v>
      </c>
      <c r="AK15" s="13">
        <v>-0.40060000000000001</v>
      </c>
      <c r="AL15" s="13">
        <v>-0.31159999999999999</v>
      </c>
      <c r="AM15" s="13">
        <v>-0.1391</v>
      </c>
      <c r="AN15" s="13">
        <v>7.0599999999999996E-2</v>
      </c>
      <c r="AO15" s="13">
        <v>0.26150000000000001</v>
      </c>
      <c r="AP15" s="13">
        <v>0.38229999999999997</v>
      </c>
      <c r="AQ15" s="13">
        <v>0.40060000000000001</v>
      </c>
      <c r="AR15" s="13">
        <v>0.31159999999999999</v>
      </c>
      <c r="AS15" s="13">
        <v>0.1391</v>
      </c>
      <c r="AV15" s="13" t="s">
        <v>62</v>
      </c>
      <c r="AW15" s="13">
        <v>2.8E-3</v>
      </c>
      <c r="AX15" s="13">
        <v>1.03E-2</v>
      </c>
      <c r="AY15" s="13">
        <v>1.5100000000000001E-2</v>
      </c>
      <c r="AZ15" s="13">
        <v>1.5900000000000001E-2</v>
      </c>
      <c r="BA15" s="13">
        <v>1.23E-2</v>
      </c>
      <c r="BB15" s="13">
        <v>5.4999999999999997E-3</v>
      </c>
      <c r="BC15" s="13">
        <v>-2.8E-3</v>
      </c>
      <c r="BD15" s="13">
        <v>-1.03E-2</v>
      </c>
      <c r="BE15" s="13">
        <v>-1.5100000000000001E-2</v>
      </c>
      <c r="BF15" s="13">
        <v>-1.5900000000000001E-2</v>
      </c>
      <c r="BG15" s="13">
        <v>-1.23E-2</v>
      </c>
      <c r="BH15" s="13">
        <v>-5.4999999999999997E-3</v>
      </c>
      <c r="BK15" s="2">
        <v>10</v>
      </c>
      <c r="BL15" s="8">
        <v>-8.9999999999999998E-4</v>
      </c>
      <c r="BM15" s="8">
        <v>-3.3E-3</v>
      </c>
      <c r="BN15" s="8">
        <v>-4.7999999999999996E-3</v>
      </c>
      <c r="BO15" s="8">
        <v>-5.0000000000000001E-3</v>
      </c>
      <c r="BP15" s="8">
        <v>-3.8999999999999998E-3</v>
      </c>
      <c r="BQ15" s="8">
        <v>-1.6999999999999999E-3</v>
      </c>
      <c r="BR15" s="9">
        <v>8.9999999999999998E-4</v>
      </c>
      <c r="BS15" s="9">
        <v>3.3E-3</v>
      </c>
      <c r="BT15" s="9">
        <v>4.7999999999999996E-3</v>
      </c>
      <c r="BU15" s="9">
        <v>5.0000000000000001E-3</v>
      </c>
      <c r="BV15" s="9">
        <v>3.8999999999999998E-3</v>
      </c>
      <c r="BW15" s="9">
        <v>1.6999999999999999E-3</v>
      </c>
      <c r="BZ15" s="2">
        <v>10</v>
      </c>
      <c r="CA15" s="8">
        <v>-1.2999999999999999E-3</v>
      </c>
      <c r="CB15" s="8">
        <v>-4.7999999999999996E-3</v>
      </c>
      <c r="CC15" s="8">
        <v>-7.0000000000000001E-3</v>
      </c>
      <c r="CD15" s="8">
        <v>-7.3000000000000001E-3</v>
      </c>
      <c r="CE15" s="8">
        <v>-5.7000000000000002E-3</v>
      </c>
      <c r="CF15" s="8">
        <v>-2.5000000000000001E-3</v>
      </c>
      <c r="CG15" s="9">
        <v>1.2999999999999999E-3</v>
      </c>
      <c r="CH15" s="9">
        <v>4.7999999999999996E-3</v>
      </c>
      <c r="CI15" s="9">
        <v>7.0000000000000001E-3</v>
      </c>
      <c r="CJ15" s="9">
        <v>7.3000000000000001E-3</v>
      </c>
      <c r="CK15" s="9">
        <v>5.7000000000000002E-3</v>
      </c>
      <c r="CL15" s="9">
        <v>2.5000000000000001E-3</v>
      </c>
      <c r="CO15" s="2">
        <v>10</v>
      </c>
      <c r="CP15" s="8">
        <v>1.8E-3</v>
      </c>
      <c r="CQ15" s="8">
        <v>6.7000000000000002E-3</v>
      </c>
      <c r="CR15" s="8">
        <v>9.7999999999999997E-3</v>
      </c>
      <c r="CS15" s="8">
        <v>1.0200000000000001E-2</v>
      </c>
      <c r="CT15" s="8">
        <v>8.0000000000000002E-3</v>
      </c>
      <c r="CU15" s="8">
        <v>3.5999999999999999E-3</v>
      </c>
      <c r="CV15" s="9">
        <v>-1.8E-3</v>
      </c>
      <c r="CW15" s="9">
        <v>-6.7000000000000002E-3</v>
      </c>
      <c r="CX15" s="9">
        <v>-9.7999999999999997E-3</v>
      </c>
      <c r="CY15" s="9">
        <v>-1.0200000000000001E-2</v>
      </c>
      <c r="CZ15" s="9">
        <v>-8.0000000000000002E-3</v>
      </c>
      <c r="DA15" s="9">
        <v>-3.5999999999999999E-3</v>
      </c>
      <c r="DD15" s="2">
        <v>10</v>
      </c>
      <c r="DE15" s="8">
        <v>2.0000000000000001E-4</v>
      </c>
      <c r="DF15" s="8">
        <v>5.9999999999999995E-4</v>
      </c>
      <c r="DG15" s="8">
        <v>8.9999999999999998E-4</v>
      </c>
      <c r="DH15" s="8">
        <v>1E-3</v>
      </c>
      <c r="DI15" s="8">
        <v>8.0000000000000004E-4</v>
      </c>
      <c r="DJ15" s="8">
        <v>2.9999999999999997E-4</v>
      </c>
      <c r="DK15" s="9">
        <v>-2.0000000000000001E-4</v>
      </c>
      <c r="DL15" s="9">
        <v>-5.9999999999999995E-4</v>
      </c>
      <c r="DM15" s="9">
        <v>-8.9999999999999998E-4</v>
      </c>
      <c r="DN15" s="9">
        <v>-1E-3</v>
      </c>
      <c r="DO15" s="9">
        <v>-8.0000000000000004E-4</v>
      </c>
      <c r="DP15" s="9">
        <v>-2.9999999999999997E-4</v>
      </c>
    </row>
    <row r="16" spans="3:120" ht="16" thickBot="1" x14ac:dyDescent="0.4">
      <c r="C16" s="2">
        <v>11</v>
      </c>
      <c r="D16" s="8">
        <v>3.3099999999999997E-2</v>
      </c>
      <c r="E16" s="8">
        <v>0.1138</v>
      </c>
      <c r="F16" s="8">
        <v>0.16400000000000001</v>
      </c>
      <c r="G16" s="8">
        <v>0.17019999999999999</v>
      </c>
      <c r="H16" s="8">
        <v>0.13089999999999999</v>
      </c>
      <c r="I16" s="8">
        <v>5.6500000000000002E-2</v>
      </c>
      <c r="J16" s="9">
        <v>-3.3099999999999997E-2</v>
      </c>
      <c r="K16" s="9">
        <v>-0.1138</v>
      </c>
      <c r="L16" s="9">
        <v>-0.16400000000000001</v>
      </c>
      <c r="M16" s="9">
        <v>-0.17019999999999999</v>
      </c>
      <c r="N16" s="9">
        <v>-0.13089999999999999</v>
      </c>
      <c r="O16" s="9">
        <v>-5.6500000000000002E-2</v>
      </c>
      <c r="R16" s="2">
        <v>11</v>
      </c>
      <c r="S16" s="8">
        <v>4.0000000000000002E-4</v>
      </c>
      <c r="T16" s="8">
        <v>1.4E-3</v>
      </c>
      <c r="U16" s="8">
        <v>2E-3</v>
      </c>
      <c r="V16" s="8">
        <v>2.0999999999999999E-3</v>
      </c>
      <c r="W16" s="8">
        <v>1.6000000000000001E-3</v>
      </c>
      <c r="X16" s="8">
        <v>6.9999999999999999E-4</v>
      </c>
      <c r="Y16" s="9">
        <v>-4.0000000000000002E-4</v>
      </c>
      <c r="Z16" s="9">
        <v>-1.4E-3</v>
      </c>
      <c r="AA16" s="9">
        <v>-2E-3</v>
      </c>
      <c r="AB16" s="9">
        <v>-2.0999999999999999E-3</v>
      </c>
      <c r="AC16" s="9">
        <v>-1.6000000000000001E-3</v>
      </c>
      <c r="AD16" s="9">
        <v>-6.9999999999999999E-4</v>
      </c>
      <c r="AG16" s="13">
        <v>11</v>
      </c>
      <c r="AH16" s="13">
        <v>-7.7600000000000002E-2</v>
      </c>
      <c r="AI16" s="13">
        <v>-0.26690000000000003</v>
      </c>
      <c r="AJ16" s="13">
        <v>-0.3846</v>
      </c>
      <c r="AK16" s="13">
        <v>-0.39929999999999999</v>
      </c>
      <c r="AL16" s="13">
        <v>-0.307</v>
      </c>
      <c r="AM16" s="13">
        <v>-0.13239999999999999</v>
      </c>
      <c r="AN16" s="13">
        <v>7.7600000000000002E-2</v>
      </c>
      <c r="AO16" s="13">
        <v>0.26690000000000003</v>
      </c>
      <c r="AP16" s="13">
        <v>0.3846</v>
      </c>
      <c r="AQ16" s="13">
        <v>0.39929999999999999</v>
      </c>
      <c r="AR16" s="13" t="s">
        <v>28</v>
      </c>
      <c r="AS16" s="13">
        <v>0.13239999999999999</v>
      </c>
      <c r="AV16" s="13" t="s">
        <v>63</v>
      </c>
      <c r="AW16" s="13">
        <v>3.0999999999999999E-3</v>
      </c>
      <c r="AX16" s="13">
        <v>1.06E-2</v>
      </c>
      <c r="AY16" s="13">
        <v>1.52E-2</v>
      </c>
      <c r="AZ16" s="13">
        <v>1.5800000000000002E-2</v>
      </c>
      <c r="BA16" s="13">
        <v>1.2200000000000001E-2</v>
      </c>
      <c r="BB16" s="13">
        <v>5.1999999999999998E-3</v>
      </c>
      <c r="BC16" s="13">
        <v>-3.0999999999999999E-3</v>
      </c>
      <c r="BD16" s="13">
        <v>-1.06E-2</v>
      </c>
      <c r="BE16" s="13">
        <v>-1.52E-2</v>
      </c>
      <c r="BF16" s="13">
        <v>-1.5800000000000002E-2</v>
      </c>
      <c r="BG16" s="13">
        <v>-1.2200000000000001E-2</v>
      </c>
      <c r="BH16" s="13">
        <v>-5.1999999999999998E-3</v>
      </c>
      <c r="BK16" s="2">
        <v>11</v>
      </c>
      <c r="BL16" s="8">
        <v>-1E-3</v>
      </c>
      <c r="BM16" s="8">
        <v>-3.3E-3</v>
      </c>
      <c r="BN16" s="8">
        <v>-4.7999999999999996E-3</v>
      </c>
      <c r="BO16" s="8">
        <v>-5.0000000000000001E-3</v>
      </c>
      <c r="BP16" s="8">
        <v>-3.8E-3</v>
      </c>
      <c r="BQ16" s="8">
        <v>-1.6999999999999999E-3</v>
      </c>
      <c r="BR16" s="9">
        <v>1E-3</v>
      </c>
      <c r="BS16" s="9">
        <v>3.3E-3</v>
      </c>
      <c r="BT16" s="9">
        <v>4.7999999999999996E-3</v>
      </c>
      <c r="BU16" s="9">
        <v>5.0000000000000001E-3</v>
      </c>
      <c r="BV16" s="9">
        <v>3.8E-3</v>
      </c>
      <c r="BW16" s="9">
        <v>1.6999999999999999E-3</v>
      </c>
      <c r="BZ16" s="2">
        <v>11</v>
      </c>
      <c r="CA16" s="8">
        <v>-1.4E-3</v>
      </c>
      <c r="CB16" s="8">
        <v>-4.8999999999999998E-3</v>
      </c>
      <c r="CC16" s="8">
        <v>-7.0000000000000001E-3</v>
      </c>
      <c r="CD16" s="8">
        <v>-7.3000000000000001E-3</v>
      </c>
      <c r="CE16" s="8">
        <v>-5.5999999999999999E-3</v>
      </c>
      <c r="CF16" s="8">
        <v>-2.3999999999999998E-3</v>
      </c>
      <c r="CG16" s="9">
        <v>1.4E-3</v>
      </c>
      <c r="CH16" s="9">
        <v>4.8999999999999998E-3</v>
      </c>
      <c r="CI16" s="9">
        <v>7.0000000000000001E-3</v>
      </c>
      <c r="CJ16" s="9">
        <v>7.3000000000000001E-3</v>
      </c>
      <c r="CK16" s="9">
        <v>5.5999999999999999E-3</v>
      </c>
      <c r="CL16" s="9">
        <v>2.3999999999999998E-3</v>
      </c>
      <c r="CO16" s="2">
        <v>11</v>
      </c>
      <c r="CP16" s="8">
        <v>2E-3</v>
      </c>
      <c r="CQ16" s="8">
        <v>6.7999999999999996E-3</v>
      </c>
      <c r="CR16" s="8">
        <v>9.7999999999999997E-3</v>
      </c>
      <c r="CS16" s="8">
        <v>1.0200000000000001E-2</v>
      </c>
      <c r="CT16" s="8">
        <v>7.7999999999999996E-3</v>
      </c>
      <c r="CU16" s="8">
        <v>3.3999999999999998E-3</v>
      </c>
      <c r="CV16" s="9">
        <v>-2E-3</v>
      </c>
      <c r="CW16" s="9">
        <v>-6.7999999999999996E-3</v>
      </c>
      <c r="CX16" s="9">
        <v>-9.7999999999999997E-3</v>
      </c>
      <c r="CY16" s="9">
        <v>-1.0200000000000001E-2</v>
      </c>
      <c r="CZ16" s="9">
        <v>-7.7999999999999996E-3</v>
      </c>
      <c r="DA16" s="9">
        <v>-3.3999999999999998E-3</v>
      </c>
      <c r="DD16" s="2">
        <v>11</v>
      </c>
      <c r="DE16" s="8">
        <v>2.0000000000000001E-4</v>
      </c>
      <c r="DF16" s="8">
        <v>6.9999999999999999E-4</v>
      </c>
      <c r="DG16" s="8">
        <v>8.9999999999999998E-4</v>
      </c>
      <c r="DH16" s="8">
        <v>1E-3</v>
      </c>
      <c r="DI16" s="8">
        <v>8.0000000000000004E-4</v>
      </c>
      <c r="DJ16" s="8">
        <v>2.9999999999999997E-4</v>
      </c>
      <c r="DK16" s="9">
        <v>-2.0000000000000001E-4</v>
      </c>
      <c r="DL16" s="9">
        <v>-6.9999999999999999E-4</v>
      </c>
      <c r="DM16" s="9">
        <v>-8.9999999999999998E-4</v>
      </c>
      <c r="DN16" s="9">
        <v>-1E-3</v>
      </c>
      <c r="DO16" s="9">
        <v>-8.0000000000000004E-4</v>
      </c>
      <c r="DP16" s="9">
        <v>-2.9999999999999997E-4</v>
      </c>
    </row>
    <row r="17" spans="3:120" ht="16" thickBot="1" x14ac:dyDescent="0.4">
      <c r="C17" s="2">
        <v>12</v>
      </c>
      <c r="D17" s="8">
        <v>3.61E-2</v>
      </c>
      <c r="E17" s="8">
        <v>0.11600000000000001</v>
      </c>
      <c r="F17" s="8">
        <v>0.16489999999999999</v>
      </c>
      <c r="G17" s="8">
        <v>0.1696</v>
      </c>
      <c r="H17" s="8">
        <v>0.12889999999999999</v>
      </c>
      <c r="I17" s="8">
        <v>5.3600000000000002E-2</v>
      </c>
      <c r="J17" s="9">
        <v>-3.61E-2</v>
      </c>
      <c r="K17" s="9">
        <v>-0.11600000000000001</v>
      </c>
      <c r="L17" s="9">
        <v>-0.16489999999999999</v>
      </c>
      <c r="M17" s="9">
        <v>-0.1696</v>
      </c>
      <c r="N17" s="9">
        <v>-0.12889999999999999</v>
      </c>
      <c r="O17" s="9">
        <v>-5.3600000000000002E-2</v>
      </c>
      <c r="R17" s="2">
        <v>12</v>
      </c>
      <c r="S17" s="8">
        <v>4.0000000000000002E-4</v>
      </c>
      <c r="T17" s="8">
        <v>1.4E-3</v>
      </c>
      <c r="U17" s="8">
        <v>2E-3</v>
      </c>
      <c r="V17" s="8">
        <v>2.0999999999999999E-3</v>
      </c>
      <c r="W17" s="8">
        <v>1.6000000000000001E-3</v>
      </c>
      <c r="X17" s="8">
        <v>5.9999999999999995E-4</v>
      </c>
      <c r="Y17" s="9">
        <v>-4.0000000000000002E-4</v>
      </c>
      <c r="Z17" s="9">
        <v>-1.4E-3</v>
      </c>
      <c r="AA17" s="9">
        <v>-2E-3</v>
      </c>
      <c r="AB17" s="9">
        <v>-2.0999999999999999E-3</v>
      </c>
      <c r="AC17" s="9">
        <v>-1.6000000000000001E-3</v>
      </c>
      <c r="AD17" s="9">
        <v>-5.9999999999999995E-4</v>
      </c>
      <c r="AG17" s="13">
        <v>12</v>
      </c>
      <c r="AH17" s="13">
        <v>-8.4599999999999995E-2</v>
      </c>
      <c r="AI17" s="13">
        <v>-0.2722</v>
      </c>
      <c r="AJ17" s="13">
        <v>-0.38690000000000002</v>
      </c>
      <c r="AK17" s="13">
        <v>-0.39789999999999998</v>
      </c>
      <c r="AL17" s="13">
        <v>-0.30230000000000001</v>
      </c>
      <c r="AM17" s="13">
        <v>-0.12570000000000001</v>
      </c>
      <c r="AN17" s="13">
        <v>8.4599999999999995E-2</v>
      </c>
      <c r="AO17" s="13">
        <v>0.2722</v>
      </c>
      <c r="AP17" s="13">
        <v>0.38690000000000002</v>
      </c>
      <c r="AQ17" s="13">
        <v>0.39789999999999998</v>
      </c>
      <c r="AR17" s="13">
        <v>0.30230000000000001</v>
      </c>
      <c r="AS17" s="13">
        <v>0.12570000000000001</v>
      </c>
      <c r="AV17" s="13" t="s">
        <v>64</v>
      </c>
      <c r="AW17" s="13">
        <v>3.3E-3</v>
      </c>
      <c r="AX17" s="13">
        <v>1.0800000000000001E-2</v>
      </c>
      <c r="AY17" s="13">
        <v>1.5299999999999999E-2</v>
      </c>
      <c r="AZ17" s="13">
        <v>1.5699999999999999E-2</v>
      </c>
      <c r="BA17" s="13">
        <v>1.2E-2</v>
      </c>
      <c r="BB17" s="13" t="s">
        <v>65</v>
      </c>
      <c r="BC17" s="13">
        <v>-3.3E-3</v>
      </c>
      <c r="BD17" s="13">
        <v>-1.0800000000000001E-2</v>
      </c>
      <c r="BE17" s="13">
        <v>-1.5299999999999999E-2</v>
      </c>
      <c r="BF17" s="13">
        <v>-1.5699999999999999E-2</v>
      </c>
      <c r="BG17" s="13" t="s">
        <v>66</v>
      </c>
      <c r="BH17" s="13" t="s">
        <v>67</v>
      </c>
      <c r="BK17" s="2">
        <v>12</v>
      </c>
      <c r="BL17" s="8">
        <v>-1.1000000000000001E-3</v>
      </c>
      <c r="BM17" s="8">
        <v>-3.3999999999999998E-3</v>
      </c>
      <c r="BN17" s="8">
        <v>-4.8999999999999998E-3</v>
      </c>
      <c r="BO17" s="8">
        <v>-5.0000000000000001E-3</v>
      </c>
      <c r="BP17" s="8">
        <v>-3.8E-3</v>
      </c>
      <c r="BQ17" s="8">
        <v>-1.6000000000000001E-3</v>
      </c>
      <c r="BR17" s="9">
        <v>1.1000000000000001E-3</v>
      </c>
      <c r="BS17" s="9">
        <v>3.3999999999999998E-3</v>
      </c>
      <c r="BT17" s="9">
        <v>4.8999999999999998E-3</v>
      </c>
      <c r="BU17" s="9">
        <v>5.0000000000000001E-3</v>
      </c>
      <c r="BV17" s="9">
        <v>3.8E-3</v>
      </c>
      <c r="BW17" s="9">
        <v>1.6000000000000001E-3</v>
      </c>
      <c r="BZ17" s="2">
        <v>12</v>
      </c>
      <c r="CA17" s="8">
        <v>-1.5E-3</v>
      </c>
      <c r="CB17" s="8">
        <v>-5.0000000000000001E-3</v>
      </c>
      <c r="CC17" s="8">
        <v>-7.0000000000000001E-3</v>
      </c>
      <c r="CD17" s="8">
        <v>-7.1999999999999998E-3</v>
      </c>
      <c r="CE17" s="8">
        <v>-5.4999999999999997E-3</v>
      </c>
      <c r="CF17" s="8">
        <v>-2.3E-3</v>
      </c>
      <c r="CG17" s="9">
        <v>1.5E-3</v>
      </c>
      <c r="CH17" s="9">
        <v>5.0000000000000001E-3</v>
      </c>
      <c r="CI17" s="9">
        <v>7.0000000000000001E-3</v>
      </c>
      <c r="CJ17" s="9">
        <v>7.1999999999999998E-3</v>
      </c>
      <c r="CK17" s="9">
        <v>5.4999999999999997E-3</v>
      </c>
      <c r="CL17" s="9">
        <v>2.3E-3</v>
      </c>
      <c r="CO17" s="2">
        <v>12</v>
      </c>
      <c r="CP17" s="8">
        <v>2.2000000000000001E-3</v>
      </c>
      <c r="CQ17" s="8">
        <v>7.0000000000000001E-3</v>
      </c>
      <c r="CR17" s="8">
        <v>9.9000000000000008E-3</v>
      </c>
      <c r="CS17" s="8">
        <v>1.0200000000000001E-2</v>
      </c>
      <c r="CT17" s="8">
        <v>7.7000000000000002E-3</v>
      </c>
      <c r="CU17" s="8">
        <v>3.2000000000000002E-3</v>
      </c>
      <c r="CV17" s="9">
        <v>-2.2000000000000001E-3</v>
      </c>
      <c r="CW17" s="9">
        <v>-7.0000000000000001E-3</v>
      </c>
      <c r="CX17" s="9">
        <v>-9.9000000000000008E-3</v>
      </c>
      <c r="CY17" s="9">
        <v>-1.0200000000000001E-2</v>
      </c>
      <c r="CZ17" s="9">
        <v>-7.7000000000000002E-3</v>
      </c>
      <c r="DA17" s="9">
        <v>-3.2000000000000002E-3</v>
      </c>
      <c r="DD17" s="2">
        <v>12</v>
      </c>
      <c r="DE17" s="8">
        <v>2.0000000000000001E-4</v>
      </c>
      <c r="DF17" s="8">
        <v>6.9999999999999999E-4</v>
      </c>
      <c r="DG17" s="8">
        <v>1E-3</v>
      </c>
      <c r="DH17" s="8">
        <v>1E-3</v>
      </c>
      <c r="DI17" s="8">
        <v>6.9999999999999999E-4</v>
      </c>
      <c r="DJ17" s="8">
        <v>2.9999999999999997E-4</v>
      </c>
      <c r="DK17" s="9">
        <v>-2.0000000000000001E-4</v>
      </c>
      <c r="DL17" s="9">
        <v>-6.9999999999999999E-4</v>
      </c>
      <c r="DM17" s="9">
        <v>-1E-3</v>
      </c>
      <c r="DN17" s="9">
        <v>-1E-3</v>
      </c>
      <c r="DO17" s="9">
        <v>-6.9999999999999999E-4</v>
      </c>
      <c r="DP17" s="9">
        <v>-2.9999999999999997E-4</v>
      </c>
    </row>
    <row r="18" spans="3:120" ht="16" thickBot="1" x14ac:dyDescent="0.4">
      <c r="C18" s="2">
        <v>13</v>
      </c>
      <c r="D18" s="8">
        <v>3.9E-2</v>
      </c>
      <c r="E18" s="8">
        <v>0.1183</v>
      </c>
      <c r="F18" s="8">
        <v>0.1658</v>
      </c>
      <c r="G18" s="8">
        <v>0.16900000000000001</v>
      </c>
      <c r="H18" s="8">
        <v>0.1268</v>
      </c>
      <c r="I18" s="8">
        <v>5.0700000000000002E-2</v>
      </c>
      <c r="J18" s="9">
        <v>-3.9E-2</v>
      </c>
      <c r="K18" s="9">
        <v>-0.1183</v>
      </c>
      <c r="L18" s="9">
        <v>-0.1658</v>
      </c>
      <c r="M18" s="9">
        <v>-0.16900000000000001</v>
      </c>
      <c r="N18" s="9">
        <v>-0.1268</v>
      </c>
      <c r="O18" s="9">
        <v>-5.0700000000000002E-2</v>
      </c>
      <c r="R18" s="2">
        <v>13</v>
      </c>
      <c r="S18" s="8">
        <v>5.0000000000000001E-4</v>
      </c>
      <c r="T18" s="8">
        <v>1.4E-3</v>
      </c>
      <c r="U18" s="8">
        <v>2E-3</v>
      </c>
      <c r="V18" s="8">
        <v>2E-3</v>
      </c>
      <c r="W18" s="8">
        <v>1.5E-3</v>
      </c>
      <c r="X18" s="8">
        <v>5.9999999999999995E-4</v>
      </c>
      <c r="Y18" s="9">
        <v>-5.0000000000000001E-4</v>
      </c>
      <c r="Z18" s="9">
        <v>-1.4E-3</v>
      </c>
      <c r="AA18" s="9">
        <v>-2E-3</v>
      </c>
      <c r="AB18" s="9">
        <v>-2E-3</v>
      </c>
      <c r="AC18" s="9">
        <v>-1.5E-3</v>
      </c>
      <c r="AD18" s="9">
        <v>-5.9999999999999995E-4</v>
      </c>
      <c r="AG18" s="13">
        <v>13</v>
      </c>
      <c r="AH18" s="13">
        <v>-9.1499999999999998E-2</v>
      </c>
      <c r="AI18" s="13">
        <v>-0.27739999999999998</v>
      </c>
      <c r="AJ18" s="13" t="s">
        <v>29</v>
      </c>
      <c r="AK18" s="13">
        <v>-0.39639999999999997</v>
      </c>
      <c r="AL18" s="13">
        <v>-0.29749999999999999</v>
      </c>
      <c r="AM18" s="13">
        <v>-0.11890000000000001</v>
      </c>
      <c r="AN18" s="13">
        <v>9.1499999999999998E-2</v>
      </c>
      <c r="AO18" s="13">
        <v>0.27739999999999998</v>
      </c>
      <c r="AP18" s="13" t="s">
        <v>30</v>
      </c>
      <c r="AQ18" s="13">
        <v>0.39639999999999997</v>
      </c>
      <c r="AR18" s="13">
        <v>0.29749999999999999</v>
      </c>
      <c r="AS18" s="13">
        <v>0.11890000000000001</v>
      </c>
      <c r="AV18" s="13" t="s">
        <v>68</v>
      </c>
      <c r="AW18" s="13">
        <v>3.5999999999999999E-3</v>
      </c>
      <c r="AX18" s="13" t="s">
        <v>69</v>
      </c>
      <c r="AY18" s="13">
        <v>1.54E-2</v>
      </c>
      <c r="AZ18" s="13">
        <v>1.5699999999999999E-2</v>
      </c>
      <c r="BA18" s="13">
        <v>1.18E-2</v>
      </c>
      <c r="BB18" s="13">
        <v>4.7000000000000002E-3</v>
      </c>
      <c r="BC18" s="13">
        <v>-3.5999999999999999E-3</v>
      </c>
      <c r="BD18" s="13" t="s">
        <v>70</v>
      </c>
      <c r="BE18" s="13">
        <v>-1.54E-2</v>
      </c>
      <c r="BF18" s="13">
        <v>-1.5699999999999999E-2</v>
      </c>
      <c r="BG18" s="13">
        <v>-1.18E-2</v>
      </c>
      <c r="BH18" s="13">
        <v>-4.7000000000000002E-3</v>
      </c>
      <c r="BK18" s="2">
        <v>13</v>
      </c>
      <c r="BL18" s="8">
        <v>-1.1000000000000001E-3</v>
      </c>
      <c r="BM18" s="8">
        <v>-3.5000000000000001E-3</v>
      </c>
      <c r="BN18" s="8">
        <v>-4.8999999999999998E-3</v>
      </c>
      <c r="BO18" s="8">
        <v>-5.0000000000000001E-3</v>
      </c>
      <c r="BP18" s="8">
        <v>-3.7000000000000002E-3</v>
      </c>
      <c r="BQ18" s="8">
        <v>-1.5E-3</v>
      </c>
      <c r="BR18" s="9">
        <v>1.1000000000000001E-3</v>
      </c>
      <c r="BS18" s="9">
        <v>3.5000000000000001E-3</v>
      </c>
      <c r="BT18" s="9">
        <v>4.8999999999999998E-3</v>
      </c>
      <c r="BU18" s="9">
        <v>5.0000000000000001E-3</v>
      </c>
      <c r="BV18" s="9">
        <v>3.7000000000000002E-3</v>
      </c>
      <c r="BW18" s="9">
        <v>1.5E-3</v>
      </c>
      <c r="BZ18" s="2">
        <v>13</v>
      </c>
      <c r="CA18" s="8">
        <v>-1.6999999999999999E-3</v>
      </c>
      <c r="CB18" s="8">
        <v>-5.0000000000000001E-3</v>
      </c>
      <c r="CC18" s="8">
        <v>-7.1000000000000004E-3</v>
      </c>
      <c r="CD18" s="8">
        <v>-7.1999999999999998E-3</v>
      </c>
      <c r="CE18" s="8">
        <v>-5.4000000000000003E-3</v>
      </c>
      <c r="CF18" s="8">
        <v>-2.2000000000000001E-3</v>
      </c>
      <c r="CG18" s="9">
        <v>1.6999999999999999E-3</v>
      </c>
      <c r="CH18" s="9">
        <v>5.0000000000000001E-3</v>
      </c>
      <c r="CI18" s="9">
        <v>7.1000000000000004E-3</v>
      </c>
      <c r="CJ18" s="9">
        <v>7.1999999999999998E-3</v>
      </c>
      <c r="CK18" s="9">
        <v>5.4000000000000003E-3</v>
      </c>
      <c r="CL18" s="9">
        <v>2.2000000000000001E-3</v>
      </c>
      <c r="CO18" s="2">
        <v>13</v>
      </c>
      <c r="CP18" s="8">
        <v>2.3E-3</v>
      </c>
      <c r="CQ18" s="8">
        <v>7.1000000000000004E-3</v>
      </c>
      <c r="CR18" s="8">
        <v>9.9000000000000008E-3</v>
      </c>
      <c r="CS18" s="8">
        <v>1.01E-2</v>
      </c>
      <c r="CT18" s="8">
        <v>7.6E-3</v>
      </c>
      <c r="CU18" s="8">
        <v>3.0000000000000001E-3</v>
      </c>
      <c r="CV18" s="9">
        <v>-2.3E-3</v>
      </c>
      <c r="CW18" s="9">
        <v>-7.1000000000000004E-3</v>
      </c>
      <c r="CX18" s="9">
        <v>-9.9000000000000008E-3</v>
      </c>
      <c r="CY18" s="9">
        <v>-1.01E-2</v>
      </c>
      <c r="CZ18" s="9">
        <v>-7.6E-3</v>
      </c>
      <c r="DA18" s="9">
        <v>-3.0000000000000001E-3</v>
      </c>
      <c r="DD18" s="2">
        <v>13</v>
      </c>
      <c r="DE18" s="8">
        <v>2.0000000000000001E-4</v>
      </c>
      <c r="DF18" s="8">
        <v>6.9999999999999999E-4</v>
      </c>
      <c r="DG18" s="8">
        <v>1E-3</v>
      </c>
      <c r="DH18" s="8">
        <v>1E-3</v>
      </c>
      <c r="DI18" s="8">
        <v>6.9999999999999999E-4</v>
      </c>
      <c r="DJ18" s="8">
        <v>2.9999999999999997E-4</v>
      </c>
      <c r="DK18" s="9">
        <v>-2.0000000000000001E-4</v>
      </c>
      <c r="DL18" s="9">
        <v>-6.9999999999999999E-4</v>
      </c>
      <c r="DM18" s="9">
        <v>-1E-3</v>
      </c>
      <c r="DN18" s="9">
        <v>-1E-3</v>
      </c>
      <c r="DO18" s="9">
        <v>-6.9999999999999999E-4</v>
      </c>
      <c r="DP18" s="9">
        <v>-2.9999999999999997E-4</v>
      </c>
    </row>
    <row r="19" spans="3:120" ht="16" thickBot="1" x14ac:dyDescent="0.4">
      <c r="C19" s="2">
        <v>14</v>
      </c>
      <c r="D19" s="8">
        <v>4.19E-2</v>
      </c>
      <c r="E19" s="8">
        <v>0.1205</v>
      </c>
      <c r="F19" s="8">
        <v>0.16669999999999999</v>
      </c>
      <c r="G19" s="8">
        <v>0.16819999999999999</v>
      </c>
      <c r="H19" s="8">
        <v>0.12470000000000001</v>
      </c>
      <c r="I19" s="8">
        <v>4.7800000000000002E-2</v>
      </c>
      <c r="J19" s="9">
        <v>-4.19E-2</v>
      </c>
      <c r="K19" s="9">
        <v>-0.1205</v>
      </c>
      <c r="L19" s="9">
        <v>-0.16669999999999999</v>
      </c>
      <c r="M19" s="9">
        <v>-0.16819999999999999</v>
      </c>
      <c r="N19" s="9">
        <v>-0.12470000000000001</v>
      </c>
      <c r="O19" s="9">
        <v>-4.7800000000000002E-2</v>
      </c>
      <c r="R19" s="2">
        <v>14</v>
      </c>
      <c r="S19" s="8">
        <v>5.0000000000000001E-4</v>
      </c>
      <c r="T19" s="8">
        <v>1.5E-3</v>
      </c>
      <c r="U19" s="8">
        <v>2E-3</v>
      </c>
      <c r="V19" s="8">
        <v>2E-3</v>
      </c>
      <c r="W19" s="8">
        <v>1.5E-3</v>
      </c>
      <c r="X19" s="8">
        <v>5.9999999999999995E-4</v>
      </c>
      <c r="Y19" s="9">
        <v>-5.0000000000000001E-4</v>
      </c>
      <c r="Z19" s="9">
        <v>-1.5E-3</v>
      </c>
      <c r="AA19" s="9">
        <v>-2E-3</v>
      </c>
      <c r="AB19" s="9">
        <v>-2E-3</v>
      </c>
      <c r="AC19" s="9">
        <v>-1.5E-3</v>
      </c>
      <c r="AD19" s="9">
        <v>-5.9999999999999995E-4</v>
      </c>
      <c r="AG19" s="13">
        <v>14</v>
      </c>
      <c r="AH19" s="13">
        <v>-9.8400000000000001E-2</v>
      </c>
      <c r="AI19" s="13">
        <v>-0.28260000000000002</v>
      </c>
      <c r="AJ19" s="13" t="s">
        <v>31</v>
      </c>
      <c r="AK19" s="13">
        <v>-0.3947</v>
      </c>
      <c r="AL19" s="13">
        <v>-0.29260000000000003</v>
      </c>
      <c r="AM19" s="13">
        <v>-0.11210000000000001</v>
      </c>
      <c r="AN19" s="13">
        <v>9.8400000000000001E-2</v>
      </c>
      <c r="AO19" s="13">
        <v>0.28260000000000002</v>
      </c>
      <c r="AP19" s="13" t="s">
        <v>32</v>
      </c>
      <c r="AQ19" s="13">
        <v>0.3947</v>
      </c>
      <c r="AR19" s="13">
        <v>0.29260000000000003</v>
      </c>
      <c r="AS19" s="13">
        <v>0.11210000000000001</v>
      </c>
      <c r="AV19" s="13" t="s">
        <v>71</v>
      </c>
      <c r="AW19" s="13">
        <v>3.8999999999999998E-3</v>
      </c>
      <c r="AX19" s="13">
        <v>1.12E-2</v>
      </c>
      <c r="AY19" s="13">
        <v>1.55E-2</v>
      </c>
      <c r="AZ19" s="13">
        <v>1.5599999999999999E-2</v>
      </c>
      <c r="BA19" s="13">
        <v>1.1599999999999999E-2</v>
      </c>
      <c r="BB19" s="13">
        <v>4.4000000000000003E-3</v>
      </c>
      <c r="BC19" s="13">
        <v>-3.8999999999999998E-3</v>
      </c>
      <c r="BD19" s="13">
        <v>-1.12E-2</v>
      </c>
      <c r="BE19" s="13">
        <v>-1.55E-2</v>
      </c>
      <c r="BF19" s="13">
        <v>-1.5599999999999999E-2</v>
      </c>
      <c r="BG19" s="13">
        <v>-1.1599999999999999E-2</v>
      </c>
      <c r="BH19" s="13">
        <v>-4.4000000000000003E-3</v>
      </c>
      <c r="BK19" s="2">
        <v>14</v>
      </c>
      <c r="BL19" s="8">
        <v>-1.1999999999999999E-3</v>
      </c>
      <c r="BM19" s="8">
        <v>-3.5000000000000001E-3</v>
      </c>
      <c r="BN19" s="8">
        <v>-4.8999999999999998E-3</v>
      </c>
      <c r="BO19" s="8">
        <v>-4.8999999999999998E-3</v>
      </c>
      <c r="BP19" s="8">
        <v>-3.7000000000000002E-3</v>
      </c>
      <c r="BQ19" s="8">
        <v>-1.4E-3</v>
      </c>
      <c r="BR19" s="9">
        <v>1.1999999999999999E-3</v>
      </c>
      <c r="BS19" s="9">
        <v>3.5000000000000001E-3</v>
      </c>
      <c r="BT19" s="9">
        <v>4.8999999999999998E-3</v>
      </c>
      <c r="BU19" s="9">
        <v>4.8999999999999998E-3</v>
      </c>
      <c r="BV19" s="9">
        <v>3.7000000000000002E-3</v>
      </c>
      <c r="BW19" s="9">
        <v>1.4E-3</v>
      </c>
      <c r="BZ19" s="2">
        <v>14</v>
      </c>
      <c r="CA19" s="8">
        <v>-1.8E-3</v>
      </c>
      <c r="CB19" s="8">
        <v>-5.1000000000000004E-3</v>
      </c>
      <c r="CC19" s="8">
        <v>-7.1000000000000004E-3</v>
      </c>
      <c r="CD19" s="8">
        <v>-7.1999999999999998E-3</v>
      </c>
      <c r="CE19" s="8">
        <v>-5.3E-3</v>
      </c>
      <c r="CF19" s="8">
        <v>-2E-3</v>
      </c>
      <c r="CG19" s="9">
        <v>1.8E-3</v>
      </c>
      <c r="CH19" s="9">
        <v>5.1000000000000004E-3</v>
      </c>
      <c r="CI19" s="9">
        <v>7.1000000000000004E-3</v>
      </c>
      <c r="CJ19" s="9">
        <v>7.1999999999999998E-3</v>
      </c>
      <c r="CK19" s="9">
        <v>5.3E-3</v>
      </c>
      <c r="CL19" s="9">
        <v>2E-3</v>
      </c>
      <c r="CO19" s="2">
        <v>14</v>
      </c>
      <c r="CP19" s="8">
        <v>2.5000000000000001E-3</v>
      </c>
      <c r="CQ19" s="8">
        <v>7.1999999999999998E-3</v>
      </c>
      <c r="CR19" s="8">
        <v>0.01</v>
      </c>
      <c r="CS19" s="8">
        <v>1.01E-2</v>
      </c>
      <c r="CT19" s="8">
        <v>7.4999999999999997E-3</v>
      </c>
      <c r="CU19" s="8">
        <v>2.8999999999999998E-3</v>
      </c>
      <c r="CV19" s="9">
        <v>-2.5000000000000001E-3</v>
      </c>
      <c r="CW19" s="9">
        <v>-7.1999999999999998E-3</v>
      </c>
      <c r="CX19" s="9">
        <v>-0.01</v>
      </c>
      <c r="CY19" s="9">
        <v>-1.01E-2</v>
      </c>
      <c r="CZ19" s="9">
        <v>-7.4999999999999997E-3</v>
      </c>
      <c r="DA19" s="9">
        <v>-2.8999999999999998E-3</v>
      </c>
      <c r="DD19" s="2">
        <v>14</v>
      </c>
      <c r="DE19" s="8">
        <v>2.0000000000000001E-4</v>
      </c>
      <c r="DF19" s="8">
        <v>6.9999999999999999E-4</v>
      </c>
      <c r="DG19" s="8">
        <v>1E-3</v>
      </c>
      <c r="DH19" s="8">
        <v>1E-3</v>
      </c>
      <c r="DI19" s="8">
        <v>6.9999999999999999E-4</v>
      </c>
      <c r="DJ19" s="8">
        <v>2.9999999999999997E-4</v>
      </c>
      <c r="DK19" s="9">
        <v>-2.0000000000000001E-4</v>
      </c>
      <c r="DL19" s="9">
        <v>-6.9999999999999999E-4</v>
      </c>
      <c r="DM19" s="9">
        <v>-1E-3</v>
      </c>
      <c r="DN19" s="9">
        <v>-1E-3</v>
      </c>
      <c r="DO19" s="9">
        <v>-6.9999999999999999E-4</v>
      </c>
      <c r="DP19" s="9">
        <v>-2.9999999999999997E-4</v>
      </c>
    </row>
    <row r="20" spans="3:120" ht="16" thickBot="1" x14ac:dyDescent="0.4">
      <c r="C20" s="2">
        <v>15</v>
      </c>
      <c r="D20" s="8">
        <v>4.4900000000000002E-2</v>
      </c>
      <c r="E20" s="8">
        <v>0.1226</v>
      </c>
      <c r="F20" s="8">
        <v>0.16750000000000001</v>
      </c>
      <c r="G20" s="8">
        <v>0.16750000000000001</v>
      </c>
      <c r="H20" s="8">
        <v>0.1226</v>
      </c>
      <c r="I20" s="8">
        <v>4.4900000000000002E-2</v>
      </c>
      <c r="J20" s="9">
        <v>-4.4900000000000002E-2</v>
      </c>
      <c r="K20" s="9">
        <v>-0.1226</v>
      </c>
      <c r="L20" s="9">
        <v>-0.16750000000000001</v>
      </c>
      <c r="M20" s="9">
        <v>-0.16750000000000001</v>
      </c>
      <c r="N20" s="9">
        <v>-0.1226</v>
      </c>
      <c r="O20" s="9">
        <v>-4.4900000000000002E-2</v>
      </c>
      <c r="R20" s="2">
        <v>15</v>
      </c>
      <c r="S20" s="8">
        <v>5.0000000000000001E-4</v>
      </c>
      <c r="T20" s="8">
        <v>1.5E-3</v>
      </c>
      <c r="U20" s="8">
        <v>2E-3</v>
      </c>
      <c r="V20" s="8">
        <v>2E-3</v>
      </c>
      <c r="W20" s="8">
        <v>1.5E-3</v>
      </c>
      <c r="X20" s="8">
        <v>5.0000000000000001E-4</v>
      </c>
      <c r="Y20" s="9">
        <v>-5.0000000000000001E-4</v>
      </c>
      <c r="Z20" s="9">
        <v>-1.5E-3</v>
      </c>
      <c r="AA20" s="9">
        <v>-2E-3</v>
      </c>
      <c r="AB20" s="9">
        <v>-2E-3</v>
      </c>
      <c r="AC20" s="9">
        <v>-1.5E-3</v>
      </c>
      <c r="AD20" s="9">
        <v>-5.0000000000000001E-4</v>
      </c>
      <c r="AG20" s="13">
        <v>15</v>
      </c>
      <c r="AH20" s="13">
        <v>-0.1053</v>
      </c>
      <c r="AI20" s="13">
        <v>-0.28770000000000001</v>
      </c>
      <c r="AJ20" s="13">
        <v>-0.39290000000000003</v>
      </c>
      <c r="AK20" s="13">
        <v>-0.39290000000000003</v>
      </c>
      <c r="AL20" s="13">
        <v>-0.28770000000000001</v>
      </c>
      <c r="AM20" s="13">
        <v>-0.1053</v>
      </c>
      <c r="AN20" s="13">
        <v>0.1053</v>
      </c>
      <c r="AO20" s="13">
        <v>0.28770000000000001</v>
      </c>
      <c r="AP20" s="13">
        <v>0.39290000000000003</v>
      </c>
      <c r="AQ20" s="13">
        <v>0.39290000000000003</v>
      </c>
      <c r="AR20" s="13">
        <v>0.28770000000000001</v>
      </c>
      <c r="AS20" s="13">
        <v>0.1053</v>
      </c>
      <c r="AV20" s="13" t="s">
        <v>72</v>
      </c>
      <c r="AW20" s="13">
        <v>4.1999999999999997E-3</v>
      </c>
      <c r="AX20" s="13">
        <v>1.14E-2</v>
      </c>
      <c r="AY20" s="13">
        <v>1.5599999999999999E-2</v>
      </c>
      <c r="AZ20" s="13">
        <v>1.5599999999999999E-2</v>
      </c>
      <c r="BA20" s="13">
        <v>1.14E-2</v>
      </c>
      <c r="BB20" s="13">
        <v>4.1999999999999997E-3</v>
      </c>
      <c r="BC20" s="13">
        <v>-4.1999999999999997E-3</v>
      </c>
      <c r="BD20" s="13">
        <v>-1.14E-2</v>
      </c>
      <c r="BE20" s="13">
        <v>-1.5599999999999999E-2</v>
      </c>
      <c r="BF20" s="13">
        <v>-1.5599999999999999E-2</v>
      </c>
      <c r="BG20" s="13">
        <v>-1.14E-2</v>
      </c>
      <c r="BH20" s="13">
        <v>-4.1999999999999997E-3</v>
      </c>
      <c r="BK20" s="2">
        <v>15</v>
      </c>
      <c r="BL20" s="8">
        <v>-1.2999999999999999E-3</v>
      </c>
      <c r="BM20" s="8">
        <v>-3.5999999999999999E-3</v>
      </c>
      <c r="BN20" s="8">
        <v>-4.8999999999999998E-3</v>
      </c>
      <c r="BO20" s="8">
        <v>-4.8999999999999998E-3</v>
      </c>
      <c r="BP20" s="8">
        <v>-3.5999999999999999E-3</v>
      </c>
      <c r="BQ20" s="8">
        <v>-1.2999999999999999E-3</v>
      </c>
      <c r="BR20" s="9">
        <v>1.2999999999999999E-3</v>
      </c>
      <c r="BS20" s="9">
        <v>3.5999999999999999E-3</v>
      </c>
      <c r="BT20" s="9">
        <v>4.8999999999999998E-3</v>
      </c>
      <c r="BU20" s="9">
        <v>4.8999999999999998E-3</v>
      </c>
      <c r="BV20" s="9">
        <v>3.5999999999999999E-3</v>
      </c>
      <c r="BW20" s="9">
        <v>1.2999999999999999E-3</v>
      </c>
      <c r="BZ20" s="2">
        <v>15</v>
      </c>
      <c r="CA20" s="8">
        <v>-1.9E-3</v>
      </c>
      <c r="CB20" s="8">
        <v>-5.1999999999999998E-3</v>
      </c>
      <c r="CC20" s="8">
        <v>-7.1000000000000004E-3</v>
      </c>
      <c r="CD20" s="8">
        <v>-7.1000000000000004E-3</v>
      </c>
      <c r="CE20" s="8">
        <v>-5.1999999999999998E-3</v>
      </c>
      <c r="CF20" s="8">
        <v>-1.9E-3</v>
      </c>
      <c r="CG20" s="9">
        <v>1.9E-3</v>
      </c>
      <c r="CH20" s="9">
        <v>5.1999999999999998E-3</v>
      </c>
      <c r="CI20" s="9">
        <v>7.1000000000000004E-3</v>
      </c>
      <c r="CJ20" s="9">
        <v>7.1000000000000004E-3</v>
      </c>
      <c r="CK20" s="9">
        <v>5.1999999999999998E-3</v>
      </c>
      <c r="CL20" s="9">
        <v>1.9E-3</v>
      </c>
      <c r="CO20" s="2">
        <v>15</v>
      </c>
      <c r="CP20" s="8">
        <v>2.7000000000000001E-3</v>
      </c>
      <c r="CQ20" s="8">
        <v>7.4000000000000003E-3</v>
      </c>
      <c r="CR20" s="8">
        <v>0.01</v>
      </c>
      <c r="CS20" s="8">
        <v>0.01</v>
      </c>
      <c r="CT20" s="8">
        <v>7.4000000000000003E-3</v>
      </c>
      <c r="CU20" s="8">
        <v>2.7000000000000001E-3</v>
      </c>
      <c r="CV20" s="9">
        <v>-2.7000000000000001E-3</v>
      </c>
      <c r="CW20" s="9">
        <v>-7.4000000000000003E-3</v>
      </c>
      <c r="CX20" s="9">
        <v>-0.01</v>
      </c>
      <c r="CY20" s="9">
        <v>-0.01</v>
      </c>
      <c r="CZ20" s="9">
        <v>-7.4000000000000003E-3</v>
      </c>
      <c r="DA20" s="9">
        <v>-2.7000000000000001E-3</v>
      </c>
      <c r="DD20" s="2">
        <v>15</v>
      </c>
      <c r="DE20" s="8">
        <v>2.9999999999999997E-4</v>
      </c>
      <c r="DF20" s="8">
        <v>6.9999999999999999E-4</v>
      </c>
      <c r="DG20" s="8">
        <v>1E-3</v>
      </c>
      <c r="DH20" s="8">
        <v>1E-3</v>
      </c>
      <c r="DI20" s="8">
        <v>6.9999999999999999E-4</v>
      </c>
      <c r="DJ20" s="8">
        <v>2.9999999999999997E-4</v>
      </c>
      <c r="DK20" s="9">
        <v>-2.9999999999999997E-4</v>
      </c>
      <c r="DL20" s="9">
        <v>-6.9999999999999999E-4</v>
      </c>
      <c r="DM20" s="9">
        <v>-1E-3</v>
      </c>
      <c r="DN20" s="9">
        <v>-1E-3</v>
      </c>
      <c r="DO20" s="9">
        <v>-6.9999999999999999E-4</v>
      </c>
      <c r="DP20" s="9">
        <v>-2.9999999999999997E-4</v>
      </c>
    </row>
    <row r="21" spans="3:120" ht="16" thickBot="1" x14ac:dyDescent="0.4">
      <c r="C21" s="2">
        <v>16</v>
      </c>
      <c r="D21" s="8">
        <v>4.7800000000000002E-2</v>
      </c>
      <c r="E21" s="8">
        <v>0.12470000000000001</v>
      </c>
      <c r="F21" s="8">
        <v>0.16819999999999999</v>
      </c>
      <c r="G21" s="8">
        <v>0.16669999999999999</v>
      </c>
      <c r="H21" s="8">
        <v>0.1205</v>
      </c>
      <c r="I21" s="8">
        <v>4.19E-2</v>
      </c>
      <c r="J21" s="9">
        <v>-4.7800000000000002E-2</v>
      </c>
      <c r="K21" s="9">
        <v>-0.12470000000000001</v>
      </c>
      <c r="L21" s="9">
        <v>-0.16819999999999999</v>
      </c>
      <c r="M21" s="9">
        <v>-0.16669999999999999</v>
      </c>
      <c r="N21" s="9">
        <v>-0.1205</v>
      </c>
      <c r="O21" s="9">
        <v>-4.19E-2</v>
      </c>
      <c r="R21" s="2">
        <v>16</v>
      </c>
      <c r="S21" s="8">
        <v>5.9999999999999995E-4</v>
      </c>
      <c r="T21" s="8">
        <v>1.5E-3</v>
      </c>
      <c r="U21" s="8">
        <v>2E-3</v>
      </c>
      <c r="V21" s="8">
        <v>2E-3</v>
      </c>
      <c r="W21" s="8">
        <v>1.5E-3</v>
      </c>
      <c r="X21" s="8">
        <v>5.0000000000000001E-4</v>
      </c>
      <c r="Y21" s="9">
        <v>-5.9999999999999995E-4</v>
      </c>
      <c r="Z21" s="9">
        <v>-1.5E-3</v>
      </c>
      <c r="AA21" s="9">
        <v>-2E-3</v>
      </c>
      <c r="AB21" s="9">
        <v>-2E-3</v>
      </c>
      <c r="AC21" s="9">
        <v>-1.5E-3</v>
      </c>
      <c r="AD21" s="9">
        <v>-5.0000000000000001E-4</v>
      </c>
      <c r="AG21" s="13">
        <v>16</v>
      </c>
      <c r="AH21" s="13">
        <v>-0.11210000000000001</v>
      </c>
      <c r="AI21" s="13">
        <v>-0.29260000000000003</v>
      </c>
      <c r="AJ21" s="13">
        <v>-0.3947</v>
      </c>
      <c r="AK21" s="13" t="s">
        <v>31</v>
      </c>
      <c r="AL21" s="13">
        <v>-0.28260000000000002</v>
      </c>
      <c r="AM21" s="13">
        <v>-9.8400000000000001E-2</v>
      </c>
      <c r="AN21" s="13">
        <v>0.11210000000000001</v>
      </c>
      <c r="AO21" s="13">
        <v>0.29260000000000003</v>
      </c>
      <c r="AP21" s="13">
        <v>0.3947</v>
      </c>
      <c r="AQ21" s="13" t="s">
        <v>32</v>
      </c>
      <c r="AR21" s="13">
        <v>0.28260000000000002</v>
      </c>
      <c r="AS21" s="13">
        <v>9.8400000000000001E-2</v>
      </c>
      <c r="AV21" s="13" t="s">
        <v>73</v>
      </c>
      <c r="AW21" s="13">
        <v>4.1999999999999997E-3</v>
      </c>
      <c r="AX21" s="13">
        <v>1.1599999999999999E-2</v>
      </c>
      <c r="AY21" s="13">
        <v>1.5599999999999999E-2</v>
      </c>
      <c r="AZ21" s="13">
        <v>1.55E-2</v>
      </c>
      <c r="BA21" s="13">
        <v>1.12E-2</v>
      </c>
      <c r="BB21" s="13">
        <v>3.8999999999999998E-3</v>
      </c>
      <c r="BC21" s="13">
        <v>-4.1999999999999997E-3</v>
      </c>
      <c r="BD21" s="13">
        <v>-1.1599999999999999E-2</v>
      </c>
      <c r="BE21" s="13">
        <v>-1.5599999999999999E-2</v>
      </c>
      <c r="BF21" s="13">
        <v>-1.55E-2</v>
      </c>
      <c r="BG21" s="13">
        <v>-1.12E-2</v>
      </c>
      <c r="BH21" s="13">
        <v>-3.8999999999999998E-3</v>
      </c>
      <c r="BK21" s="2">
        <v>16</v>
      </c>
      <c r="BL21" s="8">
        <v>-1.4E-3</v>
      </c>
      <c r="BM21" s="8">
        <v>-3.7000000000000002E-3</v>
      </c>
      <c r="BN21" s="8">
        <v>-4.8999999999999998E-3</v>
      </c>
      <c r="BO21" s="8">
        <v>-4.8999999999999998E-3</v>
      </c>
      <c r="BP21" s="8">
        <v>-3.5000000000000001E-3</v>
      </c>
      <c r="BQ21" s="8">
        <v>-1.1999999999999999E-3</v>
      </c>
      <c r="BR21" s="9">
        <v>1.4E-3</v>
      </c>
      <c r="BS21" s="9">
        <v>3.7000000000000002E-3</v>
      </c>
      <c r="BT21" s="9">
        <v>4.8999999999999998E-3</v>
      </c>
      <c r="BU21" s="9">
        <v>4.8999999999999998E-3</v>
      </c>
      <c r="BV21" s="9">
        <v>3.5000000000000001E-3</v>
      </c>
      <c r="BW21" s="9">
        <v>1.1999999999999999E-3</v>
      </c>
      <c r="BZ21" s="2">
        <v>16</v>
      </c>
      <c r="CA21" s="8">
        <v>-2E-3</v>
      </c>
      <c r="CB21" s="8">
        <v>-5.3E-3</v>
      </c>
      <c r="CC21" s="8">
        <v>-7.1999999999999998E-3</v>
      </c>
      <c r="CD21" s="8">
        <v>-7.1000000000000004E-3</v>
      </c>
      <c r="CE21" s="8">
        <v>-5.1000000000000004E-3</v>
      </c>
      <c r="CF21" s="8">
        <v>-1.8E-3</v>
      </c>
      <c r="CG21" s="9">
        <v>2E-3</v>
      </c>
      <c r="CH21" s="9">
        <v>5.3E-3</v>
      </c>
      <c r="CI21" s="9">
        <v>7.1999999999999998E-3</v>
      </c>
      <c r="CJ21" s="9">
        <v>7.1000000000000004E-3</v>
      </c>
      <c r="CK21" s="9">
        <v>5.1000000000000004E-3</v>
      </c>
      <c r="CL21" s="9">
        <v>1.8E-3</v>
      </c>
      <c r="CO21" s="2">
        <v>16</v>
      </c>
      <c r="CP21" s="8">
        <v>2.8999999999999998E-3</v>
      </c>
      <c r="CQ21" s="8">
        <v>7.4999999999999997E-3</v>
      </c>
      <c r="CR21" s="8">
        <v>1.01E-2</v>
      </c>
      <c r="CS21" s="8">
        <v>0.01</v>
      </c>
      <c r="CT21" s="8">
        <v>7.1999999999999998E-3</v>
      </c>
      <c r="CU21" s="8">
        <v>2.5000000000000001E-3</v>
      </c>
      <c r="CV21" s="9">
        <v>-2.8999999999999998E-3</v>
      </c>
      <c r="CW21" s="9">
        <v>-7.4999999999999997E-3</v>
      </c>
      <c r="CX21" s="9">
        <v>-1.01E-2</v>
      </c>
      <c r="CY21" s="9">
        <v>-0.01</v>
      </c>
      <c r="CZ21" s="9">
        <v>-7.1999999999999998E-3</v>
      </c>
      <c r="DA21" s="9">
        <v>-2.5000000000000001E-3</v>
      </c>
      <c r="DD21" s="2">
        <v>16</v>
      </c>
      <c r="DE21" s="8">
        <v>2.9999999999999997E-4</v>
      </c>
      <c r="DF21" s="8">
        <v>6.9999999999999999E-4</v>
      </c>
      <c r="DG21" s="8">
        <v>1E-3</v>
      </c>
      <c r="DH21" s="8">
        <v>1E-3</v>
      </c>
      <c r="DI21" s="8">
        <v>6.9999999999999999E-4</v>
      </c>
      <c r="DJ21" s="8">
        <v>2.0000000000000001E-4</v>
      </c>
      <c r="DK21" s="9">
        <v>-2.9999999999999997E-4</v>
      </c>
      <c r="DL21" s="9">
        <v>-6.9999999999999999E-4</v>
      </c>
      <c r="DM21" s="9">
        <v>-1E-3</v>
      </c>
      <c r="DN21" s="9">
        <v>-1E-3</v>
      </c>
      <c r="DO21" s="9">
        <v>-6.9999999999999999E-4</v>
      </c>
      <c r="DP21" s="9">
        <v>-2.0000000000000001E-4</v>
      </c>
    </row>
    <row r="22" spans="3:120" ht="16" thickBot="1" x14ac:dyDescent="0.4">
      <c r="C22" s="2">
        <v>17</v>
      </c>
      <c r="D22" s="8">
        <v>5.0700000000000002E-2</v>
      </c>
      <c r="E22" s="8">
        <v>0.1268</v>
      </c>
      <c r="F22" s="8">
        <v>0.16900000000000001</v>
      </c>
      <c r="G22" s="8">
        <v>0.1658</v>
      </c>
      <c r="H22" s="8">
        <v>0.1183</v>
      </c>
      <c r="I22" s="8">
        <v>3.9E-2</v>
      </c>
      <c r="J22" s="9">
        <v>-5.0700000000000002E-2</v>
      </c>
      <c r="K22" s="9">
        <v>-0.1268</v>
      </c>
      <c r="L22" s="9">
        <v>-0.16900000000000001</v>
      </c>
      <c r="M22" s="9">
        <v>-0.1658</v>
      </c>
      <c r="N22" s="9">
        <v>-0.1183</v>
      </c>
      <c r="O22" s="9">
        <v>-3.9E-2</v>
      </c>
      <c r="R22" s="2">
        <v>17</v>
      </c>
      <c r="S22" s="8">
        <v>5.9999999999999995E-4</v>
      </c>
      <c r="T22" s="8">
        <v>1.5E-3</v>
      </c>
      <c r="U22" s="8">
        <v>2E-3</v>
      </c>
      <c r="V22" s="8">
        <v>2E-3</v>
      </c>
      <c r="W22" s="8">
        <v>1.4E-3</v>
      </c>
      <c r="X22" s="8">
        <v>5.0000000000000001E-4</v>
      </c>
      <c r="Y22" s="9">
        <v>-5.9999999999999995E-4</v>
      </c>
      <c r="Z22" s="9">
        <v>-1.5E-3</v>
      </c>
      <c r="AA22" s="9">
        <v>-2E-3</v>
      </c>
      <c r="AB22" s="9">
        <v>-2E-3</v>
      </c>
      <c r="AC22" s="9">
        <v>-1.4E-3</v>
      </c>
      <c r="AD22" s="9">
        <v>-5.0000000000000001E-4</v>
      </c>
      <c r="AG22" s="13">
        <v>17</v>
      </c>
      <c r="AH22" s="13">
        <v>-0.11890000000000001</v>
      </c>
      <c r="AI22" s="13">
        <v>-0.29749999999999999</v>
      </c>
      <c r="AJ22" s="13">
        <v>-0.39639999999999997</v>
      </c>
      <c r="AK22" s="13">
        <v>-0.38900000000000001</v>
      </c>
      <c r="AL22" s="13">
        <v>-0.27739999999999998</v>
      </c>
      <c r="AM22" s="13">
        <v>-9.1499999999999998E-2</v>
      </c>
      <c r="AN22" s="13">
        <v>0.11890000000000001</v>
      </c>
      <c r="AO22" s="13">
        <v>0.29749999999999999</v>
      </c>
      <c r="AP22" s="13">
        <v>0.39639999999999997</v>
      </c>
      <c r="AQ22" s="13" t="s">
        <v>30</v>
      </c>
      <c r="AR22" s="13">
        <v>0.27739999999999998</v>
      </c>
      <c r="AS22" s="13">
        <v>9.1499999999999998E-2</v>
      </c>
      <c r="AV22" s="13" t="s">
        <v>74</v>
      </c>
      <c r="AW22" s="13">
        <v>4.7000000000000002E-3</v>
      </c>
      <c r="AX22" s="13">
        <v>1.18E-2</v>
      </c>
      <c r="AY22" s="13">
        <v>1.5699999999999999E-2</v>
      </c>
      <c r="AZ22" s="13">
        <v>1.54E-2</v>
      </c>
      <c r="BA22" s="13" t="s">
        <v>69</v>
      </c>
      <c r="BB22" s="13">
        <v>3.5999999999999999E-3</v>
      </c>
      <c r="BC22" s="13">
        <v>-4.7000000000000002E-3</v>
      </c>
      <c r="BD22" s="13">
        <v>-1.18E-2</v>
      </c>
      <c r="BE22" s="13">
        <v>-1.5699999999999999E-2</v>
      </c>
      <c r="BF22" s="13">
        <v>-1.54E-2</v>
      </c>
      <c r="BG22" s="13" t="s">
        <v>70</v>
      </c>
      <c r="BH22" s="13">
        <v>-3.5999999999999999E-3</v>
      </c>
      <c r="BK22" s="2">
        <v>17</v>
      </c>
      <c r="BL22" s="8">
        <v>-1.5E-3</v>
      </c>
      <c r="BM22" s="8">
        <v>-3.7000000000000002E-3</v>
      </c>
      <c r="BN22" s="8">
        <v>-5.0000000000000001E-3</v>
      </c>
      <c r="BO22" s="8">
        <v>-4.8999999999999998E-3</v>
      </c>
      <c r="BP22" s="8">
        <v>-3.5000000000000001E-3</v>
      </c>
      <c r="BQ22" s="8">
        <v>-1.1000000000000001E-3</v>
      </c>
      <c r="BR22" s="9">
        <v>1.5E-3</v>
      </c>
      <c r="BS22" s="9">
        <v>3.7000000000000002E-3</v>
      </c>
      <c r="BT22" s="9">
        <v>5.0000000000000001E-3</v>
      </c>
      <c r="BU22" s="9">
        <v>4.8999999999999998E-3</v>
      </c>
      <c r="BV22" s="9">
        <v>3.5000000000000001E-3</v>
      </c>
      <c r="BW22" s="9">
        <v>1.1000000000000001E-3</v>
      </c>
      <c r="BZ22" s="2">
        <v>17</v>
      </c>
      <c r="CA22" s="8">
        <v>-2.2000000000000001E-3</v>
      </c>
      <c r="CB22" s="8">
        <v>-5.4000000000000003E-3</v>
      </c>
      <c r="CC22" s="8">
        <v>-7.1999999999999998E-3</v>
      </c>
      <c r="CD22" s="8">
        <v>-7.1000000000000004E-3</v>
      </c>
      <c r="CE22" s="8">
        <v>-5.0000000000000001E-3</v>
      </c>
      <c r="CF22" s="8">
        <v>-1.6999999999999999E-3</v>
      </c>
      <c r="CG22" s="9">
        <v>2.2000000000000001E-3</v>
      </c>
      <c r="CH22" s="9">
        <v>5.4000000000000003E-3</v>
      </c>
      <c r="CI22" s="9">
        <v>7.1999999999999998E-3</v>
      </c>
      <c r="CJ22" s="9">
        <v>7.1000000000000004E-3</v>
      </c>
      <c r="CK22" s="9">
        <v>5.0000000000000001E-3</v>
      </c>
      <c r="CL22" s="9">
        <v>1.6999999999999999E-3</v>
      </c>
      <c r="CO22" s="2">
        <v>17</v>
      </c>
      <c r="CP22" s="8">
        <v>3.0000000000000001E-3</v>
      </c>
      <c r="CQ22" s="8">
        <v>7.6E-3</v>
      </c>
      <c r="CR22" s="8">
        <v>1.01E-2</v>
      </c>
      <c r="CS22" s="8">
        <v>9.9000000000000008E-3</v>
      </c>
      <c r="CT22" s="8">
        <v>7.1000000000000004E-3</v>
      </c>
      <c r="CU22" s="8">
        <v>2.3E-3</v>
      </c>
      <c r="CV22" s="9">
        <v>-3.0000000000000001E-3</v>
      </c>
      <c r="CW22" s="9">
        <v>-7.6E-3</v>
      </c>
      <c r="CX22" s="9">
        <v>-1.01E-2</v>
      </c>
      <c r="CY22" s="9">
        <v>-9.9000000000000008E-3</v>
      </c>
      <c r="CZ22" s="9">
        <v>-7.1000000000000004E-3</v>
      </c>
      <c r="DA22" s="9">
        <v>-2.3E-3</v>
      </c>
      <c r="DD22" s="2">
        <v>17</v>
      </c>
      <c r="DE22" s="8">
        <v>2.9999999999999997E-4</v>
      </c>
      <c r="DF22" s="8">
        <v>6.9999999999999999E-4</v>
      </c>
      <c r="DG22" s="8">
        <v>1E-3</v>
      </c>
      <c r="DH22" s="8">
        <v>1E-3</v>
      </c>
      <c r="DI22" s="8">
        <v>6.9999999999999999E-4</v>
      </c>
      <c r="DJ22" s="8">
        <v>2.0000000000000001E-4</v>
      </c>
      <c r="DK22" s="9">
        <v>-2.9999999999999997E-4</v>
      </c>
      <c r="DL22" s="9">
        <v>-6.9999999999999999E-4</v>
      </c>
      <c r="DM22" s="9">
        <v>-1E-3</v>
      </c>
      <c r="DN22" s="9">
        <v>-1E-3</v>
      </c>
      <c r="DO22" s="9">
        <v>-6.9999999999999999E-4</v>
      </c>
      <c r="DP22" s="9">
        <v>-2.0000000000000001E-4</v>
      </c>
    </row>
    <row r="23" spans="3:120" ht="16" thickBot="1" x14ac:dyDescent="0.4">
      <c r="C23" s="2">
        <v>18</v>
      </c>
      <c r="D23" s="8">
        <v>5.3600000000000002E-2</v>
      </c>
      <c r="E23" s="8">
        <v>0.12889999999999999</v>
      </c>
      <c r="F23" s="8">
        <v>0.1696</v>
      </c>
      <c r="G23" s="8">
        <v>0.16489999999999999</v>
      </c>
      <c r="H23" s="8">
        <v>0.11600000000000001</v>
      </c>
      <c r="I23" s="8">
        <v>3.61E-2</v>
      </c>
      <c r="J23" s="9">
        <v>-5.3600000000000002E-2</v>
      </c>
      <c r="K23" s="9">
        <v>-0.12889999999999999</v>
      </c>
      <c r="L23" s="9">
        <v>-0.1696</v>
      </c>
      <c r="M23" s="9">
        <v>-0.16489999999999999</v>
      </c>
      <c r="N23" s="9">
        <v>-0.11600000000000001</v>
      </c>
      <c r="O23" s="9">
        <v>-3.61E-2</v>
      </c>
      <c r="R23" s="2">
        <v>18</v>
      </c>
      <c r="S23" s="8">
        <v>5.9999999999999995E-4</v>
      </c>
      <c r="T23" s="8">
        <v>1.6000000000000001E-3</v>
      </c>
      <c r="U23" s="8">
        <v>2.0999999999999999E-3</v>
      </c>
      <c r="V23" s="8">
        <v>2E-3</v>
      </c>
      <c r="W23" s="8">
        <v>1.4E-3</v>
      </c>
      <c r="X23" s="8">
        <v>4.0000000000000002E-4</v>
      </c>
      <c r="Y23" s="9">
        <v>-5.9999999999999995E-4</v>
      </c>
      <c r="Z23" s="9">
        <v>-1.6000000000000001E-3</v>
      </c>
      <c r="AA23" s="9">
        <v>-2.0999999999999999E-3</v>
      </c>
      <c r="AB23" s="9">
        <v>-2E-3</v>
      </c>
      <c r="AC23" s="9">
        <v>-1.4E-3</v>
      </c>
      <c r="AD23" s="9">
        <v>-4.0000000000000002E-4</v>
      </c>
      <c r="AG23" s="13">
        <v>18</v>
      </c>
      <c r="AH23" s="13">
        <v>-0.12570000000000001</v>
      </c>
      <c r="AI23" s="13">
        <v>-0.30230000000000001</v>
      </c>
      <c r="AJ23" s="13">
        <v>-0.39789999999999998</v>
      </c>
      <c r="AK23" s="13">
        <v>-0.38690000000000002</v>
      </c>
      <c r="AL23" s="13">
        <v>-0.2722</v>
      </c>
      <c r="AM23" s="13">
        <v>-8.4599999999999995E-2</v>
      </c>
      <c r="AN23" s="13">
        <v>0.12570000000000001</v>
      </c>
      <c r="AO23" s="13">
        <v>0.30230000000000001</v>
      </c>
      <c r="AP23" s="13">
        <v>0.39789999999999998</v>
      </c>
      <c r="AQ23" s="13">
        <v>0.38690000000000002</v>
      </c>
      <c r="AR23" s="13">
        <v>0.2722</v>
      </c>
      <c r="AS23" s="13">
        <v>8.4599999999999995E-2</v>
      </c>
      <c r="AV23" s="13" t="s">
        <v>75</v>
      </c>
      <c r="AW23" s="13" t="s">
        <v>65</v>
      </c>
      <c r="AX23" s="13" t="s">
        <v>76</v>
      </c>
      <c r="AY23" s="13">
        <v>1.5699999999999999E-2</v>
      </c>
      <c r="AZ23" s="13">
        <v>1.5299999999999999E-2</v>
      </c>
      <c r="BA23" s="13">
        <v>1.0800000000000001E-2</v>
      </c>
      <c r="BB23" s="13">
        <v>3.3E-3</v>
      </c>
      <c r="BC23" s="13">
        <v>-5.0000000000000001E-3</v>
      </c>
      <c r="BD23" s="13" t="s">
        <v>66</v>
      </c>
      <c r="BE23" s="13">
        <v>-1.5699999999999999E-2</v>
      </c>
      <c r="BF23" s="13">
        <v>-1.5299999999999999E-2</v>
      </c>
      <c r="BG23" s="13">
        <v>-1.0800000000000001E-2</v>
      </c>
      <c r="BH23" s="13">
        <v>-3.3E-3</v>
      </c>
      <c r="BK23" s="2">
        <v>18</v>
      </c>
      <c r="BL23" s="8">
        <v>-1.6000000000000001E-3</v>
      </c>
      <c r="BM23" s="8">
        <v>-3.8E-3</v>
      </c>
      <c r="BN23" s="8">
        <v>-5.0000000000000001E-3</v>
      </c>
      <c r="BO23" s="8">
        <v>-4.8999999999999998E-3</v>
      </c>
      <c r="BP23" s="8">
        <v>-3.3999999999999998E-3</v>
      </c>
      <c r="BQ23" s="8">
        <v>-1.1000000000000001E-3</v>
      </c>
      <c r="BR23" s="9">
        <v>1.6000000000000001E-3</v>
      </c>
      <c r="BS23" s="9">
        <v>3.8E-3</v>
      </c>
      <c r="BT23" s="9">
        <v>5.0000000000000001E-3</v>
      </c>
      <c r="BU23" s="9">
        <v>4.8999999999999998E-3</v>
      </c>
      <c r="BV23" s="9">
        <v>3.3999999999999998E-3</v>
      </c>
      <c r="BW23" s="9">
        <v>1.1000000000000001E-3</v>
      </c>
      <c r="BZ23" s="2">
        <v>18</v>
      </c>
      <c r="CA23" s="8">
        <v>-2.3E-3</v>
      </c>
      <c r="CB23" s="8">
        <v>-5.4999999999999997E-3</v>
      </c>
      <c r="CC23" s="8">
        <v>-7.1999999999999998E-3</v>
      </c>
      <c r="CD23" s="8">
        <v>-7.0000000000000001E-3</v>
      </c>
      <c r="CE23" s="8">
        <v>-5.0000000000000001E-3</v>
      </c>
      <c r="CF23" s="8">
        <v>-1.5E-3</v>
      </c>
      <c r="CG23" s="9">
        <v>2.3E-3</v>
      </c>
      <c r="CH23" s="9">
        <v>5.4999999999999997E-3</v>
      </c>
      <c r="CI23" s="9">
        <v>7.1999999999999998E-3</v>
      </c>
      <c r="CJ23" s="9">
        <v>7.0000000000000001E-3</v>
      </c>
      <c r="CK23" s="9">
        <v>5.0000000000000001E-3</v>
      </c>
      <c r="CL23" s="9">
        <v>1.5E-3</v>
      </c>
      <c r="CO23" s="2">
        <v>18</v>
      </c>
      <c r="CP23" s="8">
        <v>3.2000000000000002E-3</v>
      </c>
      <c r="CQ23" s="8">
        <v>7.7000000000000002E-3</v>
      </c>
      <c r="CR23" s="8">
        <v>1.0200000000000001E-2</v>
      </c>
      <c r="CS23" s="8">
        <v>9.9000000000000008E-3</v>
      </c>
      <c r="CT23" s="8">
        <v>7.0000000000000001E-3</v>
      </c>
      <c r="CU23" s="8">
        <v>2.2000000000000001E-3</v>
      </c>
      <c r="CV23" s="9">
        <v>-3.2000000000000002E-3</v>
      </c>
      <c r="CW23" s="9">
        <v>-7.7000000000000002E-3</v>
      </c>
      <c r="CX23" s="9">
        <v>-1.0200000000000001E-2</v>
      </c>
      <c r="CY23" s="9">
        <v>-9.9000000000000008E-3</v>
      </c>
      <c r="CZ23" s="9">
        <v>-7.0000000000000001E-3</v>
      </c>
      <c r="DA23" s="9">
        <v>-2.2000000000000001E-3</v>
      </c>
      <c r="DD23" s="2">
        <v>18</v>
      </c>
      <c r="DE23" s="8">
        <v>2.9999999999999997E-4</v>
      </c>
      <c r="DF23" s="8">
        <v>6.9999999999999999E-4</v>
      </c>
      <c r="DG23" s="8">
        <v>1E-3</v>
      </c>
      <c r="DH23" s="8">
        <v>1E-3</v>
      </c>
      <c r="DI23" s="8">
        <v>6.9999999999999999E-4</v>
      </c>
      <c r="DJ23" s="8">
        <v>2.0000000000000001E-4</v>
      </c>
      <c r="DK23" s="9">
        <v>-2.9999999999999997E-4</v>
      </c>
      <c r="DL23" s="9">
        <v>-6.9999999999999999E-4</v>
      </c>
      <c r="DM23" s="9">
        <v>-1E-3</v>
      </c>
      <c r="DN23" s="9">
        <v>-1E-3</v>
      </c>
      <c r="DO23" s="9">
        <v>-6.9999999999999999E-4</v>
      </c>
      <c r="DP23" s="9">
        <v>-2.0000000000000001E-4</v>
      </c>
    </row>
    <row r="24" spans="3:120" ht="16" thickBot="1" x14ac:dyDescent="0.4">
      <c r="C24" s="2">
        <v>19</v>
      </c>
      <c r="D24" s="8">
        <v>5.6500000000000002E-2</v>
      </c>
      <c r="E24" s="8">
        <v>0.13089999999999999</v>
      </c>
      <c r="F24" s="8">
        <v>0.17019999999999999</v>
      </c>
      <c r="G24" s="8">
        <v>0.16400000000000001</v>
      </c>
      <c r="H24" s="8">
        <v>0.1138</v>
      </c>
      <c r="I24" s="8">
        <v>3.3099999999999997E-2</v>
      </c>
      <c r="J24" s="9">
        <v>-5.6500000000000002E-2</v>
      </c>
      <c r="K24" s="9">
        <v>-0.13089999999999999</v>
      </c>
      <c r="L24" s="9">
        <v>-0.17019999999999999</v>
      </c>
      <c r="M24" s="9">
        <v>-0.16400000000000001</v>
      </c>
      <c r="N24" s="9">
        <v>-0.1138</v>
      </c>
      <c r="O24" s="9">
        <v>-3.3099999999999997E-2</v>
      </c>
      <c r="R24" s="2">
        <v>19</v>
      </c>
      <c r="S24" s="8">
        <v>6.9999999999999999E-4</v>
      </c>
      <c r="T24" s="8">
        <v>1.6000000000000001E-3</v>
      </c>
      <c r="U24" s="8">
        <v>2.0999999999999999E-3</v>
      </c>
      <c r="V24" s="8">
        <v>2E-3</v>
      </c>
      <c r="W24" s="8">
        <v>1.4E-3</v>
      </c>
      <c r="X24" s="8">
        <v>4.0000000000000002E-4</v>
      </c>
      <c r="Y24" s="9">
        <v>-6.9999999999999999E-4</v>
      </c>
      <c r="Z24" s="9">
        <v>-1.6000000000000001E-3</v>
      </c>
      <c r="AA24" s="9">
        <v>-2.0999999999999999E-3</v>
      </c>
      <c r="AB24" s="9">
        <v>-2E-3</v>
      </c>
      <c r="AC24" s="9">
        <v>-1.4E-3</v>
      </c>
      <c r="AD24" s="9">
        <v>-4.0000000000000002E-4</v>
      </c>
      <c r="AG24" s="13">
        <v>19</v>
      </c>
      <c r="AH24" s="13">
        <v>-0.13239999999999999</v>
      </c>
      <c r="AI24" s="13" t="s">
        <v>33</v>
      </c>
      <c r="AJ24" s="13">
        <v>-0.39929999999999999</v>
      </c>
      <c r="AK24" s="13">
        <v>-0.3846</v>
      </c>
      <c r="AL24" s="13">
        <v>-0.26690000000000003</v>
      </c>
      <c r="AM24" s="13">
        <v>-7.7600000000000002E-2</v>
      </c>
      <c r="AN24" s="13">
        <v>0.13239999999999999</v>
      </c>
      <c r="AO24" s="13" t="s">
        <v>28</v>
      </c>
      <c r="AP24" s="13">
        <v>0.39929999999999999</v>
      </c>
      <c r="AQ24" s="13">
        <v>0.3846</v>
      </c>
      <c r="AR24" s="13">
        <v>0.26690000000000003</v>
      </c>
      <c r="AS24" s="13">
        <v>7.7600000000000002E-2</v>
      </c>
      <c r="AV24" s="13" t="s">
        <v>77</v>
      </c>
      <c r="AW24" s="13">
        <v>5.1999999999999998E-3</v>
      </c>
      <c r="AX24" s="13">
        <v>1.2200000000000001E-2</v>
      </c>
      <c r="AY24" s="13">
        <v>1.5800000000000002E-2</v>
      </c>
      <c r="AZ24" s="13">
        <v>1.52E-2</v>
      </c>
      <c r="BA24" s="13">
        <v>1.06E-2</v>
      </c>
      <c r="BB24" s="13">
        <v>3.0999999999999999E-3</v>
      </c>
      <c r="BC24" s="13">
        <v>-5.1999999999999998E-3</v>
      </c>
      <c r="BD24" s="13">
        <v>-1.2200000000000001E-2</v>
      </c>
      <c r="BE24" s="13">
        <v>-1.5800000000000002E-2</v>
      </c>
      <c r="BF24" s="13">
        <v>-1.52E-2</v>
      </c>
      <c r="BG24" s="13">
        <v>-1.06E-2</v>
      </c>
      <c r="BH24" s="13">
        <v>-3.0999999999999999E-3</v>
      </c>
      <c r="BK24" s="2">
        <v>19</v>
      </c>
      <c r="BL24" s="8">
        <v>-1.6999999999999999E-3</v>
      </c>
      <c r="BM24" s="8">
        <v>-3.8E-3</v>
      </c>
      <c r="BN24" s="8">
        <v>-5.0000000000000001E-3</v>
      </c>
      <c r="BO24" s="8">
        <v>-4.7999999999999996E-3</v>
      </c>
      <c r="BP24" s="8">
        <v>-3.3E-3</v>
      </c>
      <c r="BQ24" s="8">
        <v>-1E-3</v>
      </c>
      <c r="BR24" s="9">
        <v>1.6999999999999999E-3</v>
      </c>
      <c r="BS24" s="9">
        <v>3.8E-3</v>
      </c>
      <c r="BT24" s="9">
        <v>5.0000000000000001E-3</v>
      </c>
      <c r="BU24" s="9">
        <v>4.7999999999999996E-3</v>
      </c>
      <c r="BV24" s="9">
        <v>3.3E-3</v>
      </c>
      <c r="BW24" s="9">
        <v>1E-3</v>
      </c>
      <c r="BZ24" s="2">
        <v>19</v>
      </c>
      <c r="CA24" s="8">
        <v>-2.3999999999999998E-3</v>
      </c>
      <c r="CB24" s="8">
        <v>-5.5999999999999999E-3</v>
      </c>
      <c r="CC24" s="8">
        <v>-7.3000000000000001E-3</v>
      </c>
      <c r="CD24" s="8">
        <v>-7.0000000000000001E-3</v>
      </c>
      <c r="CE24" s="8">
        <v>-4.8999999999999998E-3</v>
      </c>
      <c r="CF24" s="8">
        <v>-1.4E-3</v>
      </c>
      <c r="CG24" s="9">
        <v>2.3999999999999998E-3</v>
      </c>
      <c r="CH24" s="9">
        <v>5.5999999999999999E-3</v>
      </c>
      <c r="CI24" s="9">
        <v>7.3000000000000001E-3</v>
      </c>
      <c r="CJ24" s="9">
        <v>7.0000000000000001E-3</v>
      </c>
      <c r="CK24" s="9">
        <v>4.8999999999999998E-3</v>
      </c>
      <c r="CL24" s="9">
        <v>1.4E-3</v>
      </c>
      <c r="CO24" s="2">
        <v>19</v>
      </c>
      <c r="CP24" s="8">
        <v>3.3999999999999998E-3</v>
      </c>
      <c r="CQ24" s="8">
        <v>7.7999999999999996E-3</v>
      </c>
      <c r="CR24" s="8">
        <v>1.0200000000000001E-2</v>
      </c>
      <c r="CS24" s="8">
        <v>9.7999999999999997E-3</v>
      </c>
      <c r="CT24" s="8">
        <v>6.7999999999999996E-3</v>
      </c>
      <c r="CU24" s="8">
        <v>2E-3</v>
      </c>
      <c r="CV24" s="9">
        <v>-3.3999999999999998E-3</v>
      </c>
      <c r="CW24" s="9">
        <v>-7.7999999999999996E-3</v>
      </c>
      <c r="CX24" s="9">
        <v>-1.0200000000000001E-2</v>
      </c>
      <c r="CY24" s="9">
        <v>-9.7999999999999997E-3</v>
      </c>
      <c r="CZ24" s="9">
        <v>-6.7999999999999996E-3</v>
      </c>
      <c r="DA24" s="9">
        <v>-2E-3</v>
      </c>
      <c r="DD24" s="2">
        <v>19</v>
      </c>
      <c r="DE24" s="8">
        <v>2.9999999999999997E-4</v>
      </c>
      <c r="DF24" s="8">
        <v>8.0000000000000004E-4</v>
      </c>
      <c r="DG24" s="8">
        <v>1E-3</v>
      </c>
      <c r="DH24" s="8">
        <v>8.9999999999999998E-4</v>
      </c>
      <c r="DI24" s="8">
        <v>6.9999999999999999E-4</v>
      </c>
      <c r="DJ24" s="8">
        <v>2.0000000000000001E-4</v>
      </c>
      <c r="DK24" s="9">
        <v>-2.9999999999999997E-4</v>
      </c>
      <c r="DL24" s="9">
        <v>-8.0000000000000004E-4</v>
      </c>
      <c r="DM24" s="9">
        <v>-1E-3</v>
      </c>
      <c r="DN24" s="9">
        <v>-8.9999999999999998E-4</v>
      </c>
      <c r="DO24" s="9">
        <v>-6.9999999999999999E-4</v>
      </c>
      <c r="DP24" s="9">
        <v>-2.0000000000000001E-4</v>
      </c>
    </row>
    <row r="25" spans="3:120" ht="16" thickBot="1" x14ac:dyDescent="0.4">
      <c r="C25" s="2">
        <v>20</v>
      </c>
      <c r="D25" s="8">
        <v>5.9299999999999999E-2</v>
      </c>
      <c r="E25" s="8">
        <v>0.1328</v>
      </c>
      <c r="F25" s="8">
        <v>0.17080000000000001</v>
      </c>
      <c r="G25" s="8">
        <v>0.16289999999999999</v>
      </c>
      <c r="H25" s="8">
        <v>0.1115</v>
      </c>
      <c r="I25" s="8">
        <v>3.0099999999999998E-2</v>
      </c>
      <c r="J25" s="9">
        <v>-5.9299999999999999E-2</v>
      </c>
      <c r="K25" s="8">
        <v>-0.1328</v>
      </c>
      <c r="L25" s="9">
        <v>-0.17080000000000001</v>
      </c>
      <c r="M25" s="9">
        <v>-0.16289999999999999</v>
      </c>
      <c r="N25" s="9">
        <v>-0.1115</v>
      </c>
      <c r="O25" s="9">
        <v>-3.0099999999999998E-2</v>
      </c>
      <c r="R25" s="2">
        <v>20</v>
      </c>
      <c r="S25" s="8">
        <v>6.9999999999999999E-4</v>
      </c>
      <c r="T25" s="8">
        <v>1.6000000000000001E-3</v>
      </c>
      <c r="U25" s="8">
        <v>2.0999999999999999E-3</v>
      </c>
      <c r="V25" s="8">
        <v>2E-3</v>
      </c>
      <c r="W25" s="8">
        <v>1.2999999999999999E-3</v>
      </c>
      <c r="X25" s="8">
        <v>4.0000000000000002E-4</v>
      </c>
      <c r="Y25" s="9">
        <v>-6.9999999999999999E-4</v>
      </c>
      <c r="Z25" s="8">
        <v>-1.6000000000000001E-3</v>
      </c>
      <c r="AA25" s="9">
        <v>-2.0999999999999999E-3</v>
      </c>
      <c r="AB25" s="9">
        <v>-2E-3</v>
      </c>
      <c r="AC25" s="9">
        <v>-1.2999999999999999E-3</v>
      </c>
      <c r="AD25" s="9">
        <v>-4.0000000000000002E-4</v>
      </c>
      <c r="AG25" s="13">
        <v>20</v>
      </c>
      <c r="AH25" s="13">
        <v>-0.1391</v>
      </c>
      <c r="AI25" s="13">
        <v>-0.31159999999999999</v>
      </c>
      <c r="AJ25" s="13">
        <v>-0.40060000000000001</v>
      </c>
      <c r="AK25" s="13">
        <v>-0.38229999999999997</v>
      </c>
      <c r="AL25" s="13">
        <v>-0.26150000000000001</v>
      </c>
      <c r="AM25" s="13">
        <v>-7.0599999999999996E-2</v>
      </c>
      <c r="AN25" s="13">
        <v>0.1391</v>
      </c>
      <c r="AO25" s="13">
        <v>0.31159999999999999</v>
      </c>
      <c r="AP25" s="13">
        <v>0.40060000000000001</v>
      </c>
      <c r="AQ25" s="13">
        <v>0.38229999999999997</v>
      </c>
      <c r="AR25" s="13">
        <v>0.26150000000000001</v>
      </c>
      <c r="AS25" s="13">
        <v>7.0599999999999996E-2</v>
      </c>
      <c r="AV25" s="13" t="s">
        <v>78</v>
      </c>
      <c r="AW25" s="13">
        <v>5.4999999999999997E-3</v>
      </c>
      <c r="AX25" s="13">
        <v>1.23E-2</v>
      </c>
      <c r="AY25" s="13">
        <v>1.5900000000000001E-2</v>
      </c>
      <c r="AZ25" s="13">
        <v>1.5100000000000001E-2</v>
      </c>
      <c r="BA25" s="13">
        <v>1.03E-2</v>
      </c>
      <c r="BB25" s="13">
        <v>2.8E-3</v>
      </c>
      <c r="BC25" s="13">
        <v>-5.4999999999999997E-3</v>
      </c>
      <c r="BD25" s="13">
        <v>-1.23E-2</v>
      </c>
      <c r="BE25" s="13">
        <v>-1.5900000000000001E-2</v>
      </c>
      <c r="BF25" s="13">
        <v>-1.5100000000000001E-2</v>
      </c>
      <c r="BG25" s="13">
        <v>-1.03E-2</v>
      </c>
      <c r="BH25" s="13">
        <v>-2.8E-3</v>
      </c>
      <c r="BK25" s="2">
        <v>20</v>
      </c>
      <c r="BL25" s="8">
        <v>-1.6999999999999999E-3</v>
      </c>
      <c r="BM25" s="8">
        <v>-3.8999999999999998E-3</v>
      </c>
      <c r="BN25" s="8">
        <v>-5.0000000000000001E-3</v>
      </c>
      <c r="BO25" s="8">
        <v>-4.7999999999999996E-3</v>
      </c>
      <c r="BP25" s="8">
        <v>-3.3E-3</v>
      </c>
      <c r="BQ25" s="8">
        <v>-8.9999999999999998E-4</v>
      </c>
      <c r="BR25" s="9">
        <v>1.6999999999999999E-3</v>
      </c>
      <c r="BS25" s="8">
        <v>3.8999999999999998E-3</v>
      </c>
      <c r="BT25" s="9">
        <v>5.0000000000000001E-3</v>
      </c>
      <c r="BU25" s="9">
        <v>4.7999999999999996E-3</v>
      </c>
      <c r="BV25" s="9">
        <v>3.3E-3</v>
      </c>
      <c r="BW25" s="9">
        <v>8.9999999999999998E-4</v>
      </c>
      <c r="BZ25" s="2">
        <v>20</v>
      </c>
      <c r="CA25" s="8">
        <v>-2.5000000000000001E-3</v>
      </c>
      <c r="CB25" s="8">
        <v>-5.7000000000000002E-3</v>
      </c>
      <c r="CC25" s="8">
        <v>-7.3000000000000001E-3</v>
      </c>
      <c r="CD25" s="8">
        <v>-7.0000000000000001E-3</v>
      </c>
      <c r="CE25" s="8">
        <v>-4.7999999999999996E-3</v>
      </c>
      <c r="CF25" s="8">
        <v>-1.2999999999999999E-3</v>
      </c>
      <c r="CG25" s="9">
        <v>2.5000000000000001E-3</v>
      </c>
      <c r="CH25" s="8">
        <v>5.7000000000000002E-3</v>
      </c>
      <c r="CI25" s="9">
        <v>7.3000000000000001E-3</v>
      </c>
      <c r="CJ25" s="9">
        <v>7.0000000000000001E-3</v>
      </c>
      <c r="CK25" s="9">
        <v>4.7999999999999996E-3</v>
      </c>
      <c r="CL25" s="9">
        <v>1.2999999999999999E-3</v>
      </c>
      <c r="CO25" s="2">
        <v>20</v>
      </c>
      <c r="CP25" s="8">
        <v>3.5999999999999999E-3</v>
      </c>
      <c r="CQ25" s="8">
        <v>8.0000000000000002E-3</v>
      </c>
      <c r="CR25" s="8">
        <v>1.0200000000000001E-2</v>
      </c>
      <c r="CS25" s="8">
        <v>9.7999999999999997E-3</v>
      </c>
      <c r="CT25" s="8" t="s">
        <v>93</v>
      </c>
      <c r="CU25" s="8">
        <v>1.8E-3</v>
      </c>
      <c r="CV25" s="9">
        <v>-3.5999999999999999E-3</v>
      </c>
      <c r="CW25" s="8">
        <v>-8.0000000000000002E-3</v>
      </c>
      <c r="CX25" s="9">
        <v>-1.0200000000000001E-2</v>
      </c>
      <c r="CY25" s="9">
        <v>-9.7999999999999997E-3</v>
      </c>
      <c r="CZ25" s="9">
        <v>-6.7000000000000002E-3</v>
      </c>
      <c r="DA25" s="9">
        <v>-1.8E-3</v>
      </c>
      <c r="DD25" s="2">
        <v>20</v>
      </c>
      <c r="DE25" s="8">
        <v>2.9999999999999997E-4</v>
      </c>
      <c r="DF25" s="8">
        <v>8.0000000000000004E-4</v>
      </c>
      <c r="DG25" s="8">
        <v>1E-3</v>
      </c>
      <c r="DH25" s="8">
        <v>8.9999999999999998E-4</v>
      </c>
      <c r="DI25" s="8">
        <v>5.9999999999999995E-4</v>
      </c>
      <c r="DJ25" s="8">
        <v>2.0000000000000001E-4</v>
      </c>
      <c r="DK25" s="9">
        <v>-2.9999999999999997E-4</v>
      </c>
      <c r="DL25" s="8">
        <v>-8.0000000000000004E-4</v>
      </c>
      <c r="DM25" s="9">
        <v>-1E-3</v>
      </c>
      <c r="DN25" s="9">
        <v>-8.9999999999999998E-4</v>
      </c>
      <c r="DO25" s="9">
        <v>-5.9999999999999995E-4</v>
      </c>
      <c r="DP25" s="9">
        <v>-2.0000000000000001E-4</v>
      </c>
    </row>
    <row r="26" spans="3:120" ht="16" thickBot="1" x14ac:dyDescent="0.4">
      <c r="C26" s="2">
        <v>21</v>
      </c>
      <c r="D26" s="8">
        <v>6.2100000000000002E-2</v>
      </c>
      <c r="E26" s="8">
        <v>0.1348</v>
      </c>
      <c r="F26" s="8">
        <v>0.17130000000000001</v>
      </c>
      <c r="G26" s="8">
        <v>0.16189999999999999</v>
      </c>
      <c r="H26" s="8">
        <v>0.1091</v>
      </c>
      <c r="I26" s="8">
        <v>2.7099999999999999E-2</v>
      </c>
      <c r="J26" s="9">
        <v>-6.2100000000000002E-2</v>
      </c>
      <c r="K26" s="9">
        <v>-0.1348</v>
      </c>
      <c r="L26" s="9">
        <v>-0.17130000000000001</v>
      </c>
      <c r="M26" s="9">
        <v>-0.16189999999999999</v>
      </c>
      <c r="N26" s="9">
        <v>-0.1091</v>
      </c>
      <c r="O26" s="9">
        <v>-2.7099999999999999E-2</v>
      </c>
      <c r="R26" s="2">
        <v>21</v>
      </c>
      <c r="S26" s="8">
        <v>8.0000000000000004E-4</v>
      </c>
      <c r="T26" s="8">
        <v>1.6000000000000001E-3</v>
      </c>
      <c r="U26" s="8">
        <v>2.0999999999999999E-3</v>
      </c>
      <c r="V26" s="8">
        <v>2E-3</v>
      </c>
      <c r="W26" s="8">
        <v>1.2999999999999999E-3</v>
      </c>
      <c r="X26" s="8">
        <v>2.9999999999999997E-4</v>
      </c>
      <c r="Y26" s="9">
        <v>-8.0000000000000004E-4</v>
      </c>
      <c r="Z26" s="9">
        <v>-1.6000000000000001E-3</v>
      </c>
      <c r="AA26" s="9">
        <v>-2.0999999999999999E-3</v>
      </c>
      <c r="AB26" s="9">
        <v>-2E-3</v>
      </c>
      <c r="AC26" s="9">
        <v>-1.2999999999999999E-3</v>
      </c>
      <c r="AD26" s="9">
        <v>-2.9999999999999997E-4</v>
      </c>
      <c r="AG26" s="13">
        <v>21</v>
      </c>
      <c r="AH26" s="13">
        <v>-0.14580000000000001</v>
      </c>
      <c r="AI26" s="13">
        <v>-0.31609999999999999</v>
      </c>
      <c r="AJ26" s="13">
        <v>-0.40179999999999999</v>
      </c>
      <c r="AK26" s="13">
        <v>-0.37980000000000003</v>
      </c>
      <c r="AL26" s="13" t="s">
        <v>34</v>
      </c>
      <c r="AM26" s="13">
        <v>-6.3600000000000004E-2</v>
      </c>
      <c r="AN26" s="13">
        <v>0.14580000000000001</v>
      </c>
      <c r="AO26" s="13">
        <v>0.31609999999999999</v>
      </c>
      <c r="AP26" s="13">
        <v>0.40179999999999999</v>
      </c>
      <c r="AQ26" s="13">
        <v>0.37980000000000003</v>
      </c>
      <c r="AR26" s="13" t="s">
        <v>27</v>
      </c>
      <c r="AS26" s="13">
        <v>6.3600000000000004E-2</v>
      </c>
      <c r="AV26" s="13" t="s">
        <v>79</v>
      </c>
      <c r="AW26" s="13">
        <v>5.7999999999999996E-3</v>
      </c>
      <c r="AX26" s="13">
        <v>1.2500000000000001E-2</v>
      </c>
      <c r="AY26" s="13">
        <v>1.5900000000000001E-2</v>
      </c>
      <c r="AZ26" s="13" t="s">
        <v>60</v>
      </c>
      <c r="BA26" s="13">
        <v>1.01E-2</v>
      </c>
      <c r="BB26" s="13">
        <v>2.5000000000000001E-3</v>
      </c>
      <c r="BC26" s="13">
        <v>-5.7999999999999996E-3</v>
      </c>
      <c r="BD26" s="13">
        <v>-1.2500000000000001E-2</v>
      </c>
      <c r="BE26" s="13">
        <v>-1.5900000000000001E-2</v>
      </c>
      <c r="BF26" s="13" t="s">
        <v>61</v>
      </c>
      <c r="BG26" s="13">
        <v>-1.01E-2</v>
      </c>
      <c r="BH26" s="13">
        <v>-2.5000000000000001E-3</v>
      </c>
      <c r="BK26" s="2">
        <v>21</v>
      </c>
      <c r="BL26" s="8">
        <v>-1.8E-3</v>
      </c>
      <c r="BM26" s="8">
        <v>-4.0000000000000001E-3</v>
      </c>
      <c r="BN26" s="8">
        <v>-5.0000000000000001E-3</v>
      </c>
      <c r="BO26" s="8">
        <v>-4.7999999999999996E-3</v>
      </c>
      <c r="BP26" s="8">
        <v>-3.2000000000000002E-3</v>
      </c>
      <c r="BQ26" s="8">
        <v>-8.0000000000000004E-4</v>
      </c>
      <c r="BR26" s="9">
        <v>1.8E-3</v>
      </c>
      <c r="BS26" s="9">
        <v>4.0000000000000001E-3</v>
      </c>
      <c r="BT26" s="9">
        <v>5.0000000000000001E-3</v>
      </c>
      <c r="BU26" s="9">
        <v>4.7999999999999996E-3</v>
      </c>
      <c r="BV26" s="9">
        <v>3.2000000000000002E-3</v>
      </c>
      <c r="BW26" s="9">
        <v>8.0000000000000004E-4</v>
      </c>
      <c r="BZ26" s="2">
        <v>21</v>
      </c>
      <c r="CA26" s="8">
        <v>-2.7000000000000001E-3</v>
      </c>
      <c r="CB26" s="8">
        <v>-5.7999999999999996E-3</v>
      </c>
      <c r="CC26" s="8">
        <v>-7.3000000000000001E-3</v>
      </c>
      <c r="CD26" s="8">
        <v>-6.8999999999999999E-3</v>
      </c>
      <c r="CE26" s="8">
        <v>-4.7000000000000002E-3</v>
      </c>
      <c r="CF26" s="8">
        <v>-1.1999999999999999E-3</v>
      </c>
      <c r="CG26" s="9">
        <v>2.7000000000000001E-3</v>
      </c>
      <c r="CH26" s="9">
        <v>5.7999999999999996E-3</v>
      </c>
      <c r="CI26" s="9">
        <v>7.3000000000000001E-3</v>
      </c>
      <c r="CJ26" s="9">
        <v>6.8999999999999999E-3</v>
      </c>
      <c r="CK26" s="9">
        <v>4.7000000000000002E-3</v>
      </c>
      <c r="CL26" s="9">
        <v>1.1999999999999999E-3</v>
      </c>
      <c r="CO26" s="2">
        <v>21</v>
      </c>
      <c r="CP26" s="8">
        <v>3.7000000000000002E-3</v>
      </c>
      <c r="CQ26" s="8">
        <v>8.0999999999999996E-3</v>
      </c>
      <c r="CR26" s="8">
        <v>1.03E-2</v>
      </c>
      <c r="CS26" s="8">
        <v>9.7000000000000003E-3</v>
      </c>
      <c r="CT26" s="8">
        <v>6.4999999999999997E-3</v>
      </c>
      <c r="CU26" s="8">
        <v>1.6000000000000001E-3</v>
      </c>
      <c r="CV26" s="9">
        <v>-3.7000000000000002E-3</v>
      </c>
      <c r="CW26" s="9">
        <v>-8.0999999999999996E-3</v>
      </c>
      <c r="CX26" s="9">
        <v>-1.03E-2</v>
      </c>
      <c r="CY26" s="9">
        <v>-9.7000000000000003E-3</v>
      </c>
      <c r="CZ26" s="9">
        <v>-6.4999999999999997E-3</v>
      </c>
      <c r="DA26" s="9">
        <v>-1.6000000000000001E-3</v>
      </c>
      <c r="DD26" s="2">
        <v>21</v>
      </c>
      <c r="DE26" s="8">
        <v>4.0000000000000002E-4</v>
      </c>
      <c r="DF26" s="8">
        <v>8.0000000000000004E-4</v>
      </c>
      <c r="DG26" s="8">
        <v>1E-3</v>
      </c>
      <c r="DH26" s="8">
        <v>8.9999999999999998E-4</v>
      </c>
      <c r="DI26" s="8">
        <v>5.9999999999999995E-4</v>
      </c>
      <c r="DJ26" s="8">
        <v>2.0000000000000001E-4</v>
      </c>
      <c r="DK26" s="9">
        <v>-4.0000000000000002E-4</v>
      </c>
      <c r="DL26" s="9">
        <v>-8.0000000000000004E-4</v>
      </c>
      <c r="DM26" s="9">
        <v>-1E-3</v>
      </c>
      <c r="DN26" s="9">
        <v>-8.9999999999999998E-4</v>
      </c>
      <c r="DO26" s="9">
        <v>-5.9999999999999995E-4</v>
      </c>
      <c r="DP26" s="9">
        <v>-2.0000000000000001E-4</v>
      </c>
    </row>
    <row r="27" spans="3:120" ht="16" thickBot="1" x14ac:dyDescent="0.4">
      <c r="C27" s="2">
        <v>22</v>
      </c>
      <c r="D27" s="8">
        <v>6.5000000000000002E-2</v>
      </c>
      <c r="E27" s="8">
        <v>0.1366</v>
      </c>
      <c r="F27" s="8">
        <v>0.17169999999999999</v>
      </c>
      <c r="G27" s="8">
        <v>0.1608</v>
      </c>
      <c r="H27" s="8">
        <v>0.10680000000000001</v>
      </c>
      <c r="I27" s="8">
        <v>2.41E-2</v>
      </c>
      <c r="J27" s="9">
        <v>-6.5000000000000002E-2</v>
      </c>
      <c r="K27" s="9">
        <v>-0.1366</v>
      </c>
      <c r="L27" s="9">
        <v>-0.17169999999999999</v>
      </c>
      <c r="M27" s="9">
        <v>-0.1608</v>
      </c>
      <c r="N27" s="9">
        <v>-0.10680000000000001</v>
      </c>
      <c r="O27" s="9">
        <v>-2.41E-2</v>
      </c>
      <c r="R27" s="2">
        <v>22</v>
      </c>
      <c r="S27" s="8">
        <v>8.0000000000000004E-4</v>
      </c>
      <c r="T27" s="8">
        <v>1.6999999999999999E-3</v>
      </c>
      <c r="U27" s="8">
        <v>2.0999999999999999E-3</v>
      </c>
      <c r="V27" s="8">
        <v>1.9E-3</v>
      </c>
      <c r="W27" s="8">
        <v>1.2999999999999999E-3</v>
      </c>
      <c r="X27" s="8">
        <v>2.9999999999999997E-4</v>
      </c>
      <c r="Y27" s="9">
        <v>-8.0000000000000004E-4</v>
      </c>
      <c r="Z27" s="9">
        <v>-1.6999999999999999E-3</v>
      </c>
      <c r="AA27" s="9">
        <v>-2.0999999999999999E-3</v>
      </c>
      <c r="AB27" s="9">
        <v>-1.9E-3</v>
      </c>
      <c r="AC27" s="9">
        <v>-1.2999999999999999E-3</v>
      </c>
      <c r="AD27" s="9">
        <v>-2.9999999999999997E-4</v>
      </c>
      <c r="AG27" s="13">
        <v>22</v>
      </c>
      <c r="AH27" s="13">
        <v>-0.15240000000000001</v>
      </c>
      <c r="AI27" s="13">
        <v>-0.3206</v>
      </c>
      <c r="AJ27" s="13">
        <v>-0.40279999999999999</v>
      </c>
      <c r="AK27" s="13">
        <v>-0.37719999999999998</v>
      </c>
      <c r="AL27" s="13">
        <v>-0.2505</v>
      </c>
      <c r="AM27" s="13">
        <v>-5.6599999999999998E-2</v>
      </c>
      <c r="AN27" s="13">
        <v>0.15240000000000001</v>
      </c>
      <c r="AO27" s="13">
        <v>0.3206</v>
      </c>
      <c r="AP27" s="13">
        <v>0.40279999999999999</v>
      </c>
      <c r="AQ27" s="13">
        <v>0.37719999999999998</v>
      </c>
      <c r="AR27" s="13">
        <v>0.2505</v>
      </c>
      <c r="AS27" s="13">
        <v>5.6599999999999998E-2</v>
      </c>
      <c r="AV27" s="13" t="s">
        <v>80</v>
      </c>
      <c r="AW27" s="13" t="s">
        <v>57</v>
      </c>
      <c r="AX27" s="13">
        <v>1.2699999999999999E-2</v>
      </c>
      <c r="AY27" s="13">
        <v>1.5900000000000001E-2</v>
      </c>
      <c r="AZ27" s="13">
        <v>1.49E-2</v>
      </c>
      <c r="BA27" s="13">
        <v>9.9000000000000008E-3</v>
      </c>
      <c r="BB27" s="13">
        <v>2.2000000000000001E-3</v>
      </c>
      <c r="BC27" s="13" t="s">
        <v>58</v>
      </c>
      <c r="BD27" s="13">
        <v>-1.2699999999999999E-2</v>
      </c>
      <c r="BE27" s="13">
        <v>-1.5900000000000001E-2</v>
      </c>
      <c r="BF27" s="13">
        <v>-1.49E-2</v>
      </c>
      <c r="BG27" s="13">
        <v>-9.9000000000000008E-3</v>
      </c>
      <c r="BH27" s="13">
        <v>-2.2000000000000001E-3</v>
      </c>
      <c r="BK27" s="2">
        <v>22</v>
      </c>
      <c r="BL27" s="8">
        <v>-1.9E-3</v>
      </c>
      <c r="BM27" s="8">
        <v>-4.0000000000000001E-3</v>
      </c>
      <c r="BN27" s="8">
        <v>-5.1000000000000004E-3</v>
      </c>
      <c r="BO27" s="8">
        <v>-4.7000000000000002E-3</v>
      </c>
      <c r="BP27" s="8">
        <v>-3.0999999999999999E-3</v>
      </c>
      <c r="BQ27" s="8">
        <v>-6.9999999999999999E-4</v>
      </c>
      <c r="BR27" s="9">
        <v>1.9E-3</v>
      </c>
      <c r="BS27" s="9">
        <v>4.0000000000000001E-3</v>
      </c>
      <c r="BT27" s="9">
        <v>5.1000000000000004E-3</v>
      </c>
      <c r="BU27" s="9">
        <v>4.7000000000000002E-3</v>
      </c>
      <c r="BV27" s="9">
        <v>3.0999999999999999E-3</v>
      </c>
      <c r="BW27" s="9">
        <v>6.9999999999999999E-4</v>
      </c>
      <c r="BZ27" s="2">
        <v>22</v>
      </c>
      <c r="CA27" s="8">
        <v>-2.8E-3</v>
      </c>
      <c r="CB27" s="8">
        <v>-5.7999999999999996E-3</v>
      </c>
      <c r="CC27" s="8">
        <v>-7.3000000000000001E-3</v>
      </c>
      <c r="CD27" s="8">
        <v>-6.8999999999999999E-3</v>
      </c>
      <c r="CE27" s="8">
        <v>-4.5999999999999999E-3</v>
      </c>
      <c r="CF27" s="8">
        <v>-1E-3</v>
      </c>
      <c r="CG27" s="9">
        <v>2.8E-3</v>
      </c>
      <c r="CH27" s="9">
        <v>5.7999999999999996E-3</v>
      </c>
      <c r="CI27" s="9">
        <v>7.3000000000000001E-3</v>
      </c>
      <c r="CJ27" s="9">
        <v>6.8999999999999999E-3</v>
      </c>
      <c r="CK27" s="9">
        <v>4.5999999999999999E-3</v>
      </c>
      <c r="CL27" s="9">
        <v>1E-3</v>
      </c>
      <c r="CO27" s="2">
        <v>22</v>
      </c>
      <c r="CP27" s="8">
        <v>3.8999999999999998E-3</v>
      </c>
      <c r="CQ27" s="8">
        <v>8.2000000000000007E-3</v>
      </c>
      <c r="CR27" s="8">
        <v>1.03E-2</v>
      </c>
      <c r="CS27" s="8">
        <v>9.5999999999999992E-3</v>
      </c>
      <c r="CT27" s="8">
        <v>6.4000000000000003E-3</v>
      </c>
      <c r="CU27" s="8">
        <v>1.4E-3</v>
      </c>
      <c r="CV27" s="9">
        <v>-3.8999999999999998E-3</v>
      </c>
      <c r="CW27" s="9">
        <v>-8.2000000000000007E-3</v>
      </c>
      <c r="CX27" s="9">
        <v>-1.03E-2</v>
      </c>
      <c r="CY27" s="9">
        <v>-9.5999999999999992E-3</v>
      </c>
      <c r="CZ27" s="9">
        <v>-6.4000000000000003E-3</v>
      </c>
      <c r="DA27" s="9">
        <v>-1.4E-3</v>
      </c>
      <c r="DD27" s="2">
        <v>22</v>
      </c>
      <c r="DE27" s="8">
        <v>4.0000000000000002E-4</v>
      </c>
      <c r="DF27" s="8">
        <v>8.0000000000000004E-4</v>
      </c>
      <c r="DG27" s="8">
        <v>1E-3</v>
      </c>
      <c r="DH27" s="8">
        <v>8.9999999999999998E-4</v>
      </c>
      <c r="DI27" s="8">
        <v>5.9999999999999995E-4</v>
      </c>
      <c r="DJ27" s="8">
        <v>1E-4</v>
      </c>
      <c r="DK27" s="9">
        <v>-4.0000000000000002E-4</v>
      </c>
      <c r="DL27" s="9">
        <v>-8.0000000000000004E-4</v>
      </c>
      <c r="DM27" s="9">
        <v>-1E-3</v>
      </c>
      <c r="DN27" s="9">
        <v>-8.9999999999999998E-4</v>
      </c>
      <c r="DO27" s="9">
        <v>-5.9999999999999995E-4</v>
      </c>
      <c r="DP27" s="9">
        <v>-1E-4</v>
      </c>
    </row>
    <row r="28" spans="3:120" ht="16" thickBot="1" x14ac:dyDescent="0.4">
      <c r="C28" s="2">
        <v>23</v>
      </c>
      <c r="D28" s="8">
        <v>6.7799999999999999E-2</v>
      </c>
      <c r="E28" s="8">
        <v>0.13850000000000001</v>
      </c>
      <c r="F28" s="8">
        <v>0.1721</v>
      </c>
      <c r="G28" s="8">
        <v>0.15959999999999999</v>
      </c>
      <c r="H28" s="8">
        <v>0.10440000000000001</v>
      </c>
      <c r="I28" s="8">
        <v>2.1100000000000001E-2</v>
      </c>
      <c r="J28" s="9">
        <v>-6.7799999999999999E-2</v>
      </c>
      <c r="K28" s="9">
        <v>-0.13850000000000001</v>
      </c>
      <c r="L28" s="9">
        <v>-0.1721</v>
      </c>
      <c r="M28" s="9">
        <v>-0.15959999999999999</v>
      </c>
      <c r="N28" s="9">
        <v>-0.10440000000000001</v>
      </c>
      <c r="O28" s="9">
        <v>-2.1100000000000001E-2</v>
      </c>
      <c r="R28" s="2">
        <v>23</v>
      </c>
      <c r="S28" s="8">
        <v>8.0000000000000004E-4</v>
      </c>
      <c r="T28" s="8">
        <v>1.6999999999999999E-3</v>
      </c>
      <c r="U28" s="8">
        <v>2.0999999999999999E-3</v>
      </c>
      <c r="V28" s="8">
        <v>1.9E-3</v>
      </c>
      <c r="W28" s="8">
        <v>1.2999999999999999E-3</v>
      </c>
      <c r="X28" s="8">
        <v>2.9999999999999997E-4</v>
      </c>
      <c r="Y28" s="9">
        <v>-8.0000000000000004E-4</v>
      </c>
      <c r="Z28" s="9">
        <v>-1.6999999999999999E-3</v>
      </c>
      <c r="AA28" s="9">
        <v>-2.0999999999999999E-3</v>
      </c>
      <c r="AB28" s="9">
        <v>-1.9E-3</v>
      </c>
      <c r="AC28" s="9">
        <v>-1.2999999999999999E-3</v>
      </c>
      <c r="AD28" s="9">
        <v>-2.9999999999999997E-4</v>
      </c>
      <c r="AG28" s="13">
        <v>23</v>
      </c>
      <c r="AH28" s="13">
        <v>-0.15890000000000001</v>
      </c>
      <c r="AI28" s="13">
        <v>-0.32490000000000002</v>
      </c>
      <c r="AJ28" s="13">
        <v>-0.40379999999999999</v>
      </c>
      <c r="AK28" s="13">
        <v>-0.3745</v>
      </c>
      <c r="AL28" s="13">
        <v>-0.24479999999999999</v>
      </c>
      <c r="AM28" s="13">
        <v>-4.9599999999999998E-2</v>
      </c>
      <c r="AN28" s="13">
        <v>0.15890000000000001</v>
      </c>
      <c r="AO28" s="13">
        <v>0.32490000000000002</v>
      </c>
      <c r="AP28" s="13">
        <v>0.40379999999999999</v>
      </c>
      <c r="AQ28" s="13">
        <v>0.3745</v>
      </c>
      <c r="AR28" s="13">
        <v>0.24479999999999999</v>
      </c>
      <c r="AS28" s="13">
        <v>4.9599999999999998E-2</v>
      </c>
      <c r="AV28" s="13" t="s">
        <v>81</v>
      </c>
      <c r="AW28" s="13">
        <v>6.3E-3</v>
      </c>
      <c r="AX28" s="13">
        <v>1.29E-2</v>
      </c>
      <c r="AY28" s="13" t="s">
        <v>48</v>
      </c>
      <c r="AZ28" s="13">
        <v>1.4800000000000001E-2</v>
      </c>
      <c r="BA28" s="13">
        <v>9.7000000000000003E-3</v>
      </c>
      <c r="BB28" s="13" t="s">
        <v>54</v>
      </c>
      <c r="BC28" s="13">
        <v>-6.3E-3</v>
      </c>
      <c r="BD28" s="13">
        <v>-1.29E-2</v>
      </c>
      <c r="BE28" s="13" t="s">
        <v>49</v>
      </c>
      <c r="BF28" s="13">
        <v>-1.4800000000000001E-2</v>
      </c>
      <c r="BG28" s="13">
        <v>-9.7000000000000003E-3</v>
      </c>
      <c r="BH28" s="13" t="s">
        <v>55</v>
      </c>
      <c r="BK28" s="2">
        <v>23</v>
      </c>
      <c r="BL28" s="8">
        <v>-2E-3</v>
      </c>
      <c r="BM28" s="8">
        <v>-4.1000000000000003E-3</v>
      </c>
      <c r="BN28" s="8">
        <v>-5.1000000000000004E-3</v>
      </c>
      <c r="BO28" s="8">
        <v>-4.7000000000000002E-3</v>
      </c>
      <c r="BP28" s="8">
        <v>-3.0999999999999999E-3</v>
      </c>
      <c r="BQ28" s="8">
        <v>-5.9999999999999995E-4</v>
      </c>
      <c r="BR28" s="9">
        <v>2E-3</v>
      </c>
      <c r="BS28" s="9">
        <v>4.1000000000000003E-3</v>
      </c>
      <c r="BT28" s="9">
        <v>5.1000000000000004E-3</v>
      </c>
      <c r="BU28" s="9">
        <v>4.7000000000000002E-3</v>
      </c>
      <c r="BV28" s="9">
        <v>3.0999999999999999E-3</v>
      </c>
      <c r="BW28" s="9">
        <v>5.9999999999999995E-4</v>
      </c>
      <c r="BZ28" s="2">
        <v>23</v>
      </c>
      <c r="CA28" s="8">
        <v>-2.8999999999999998E-3</v>
      </c>
      <c r="CB28" s="8">
        <v>-5.8999999999999999E-3</v>
      </c>
      <c r="CC28" s="8">
        <v>-7.3000000000000001E-3</v>
      </c>
      <c r="CD28" s="8">
        <v>-6.7999999999999996E-3</v>
      </c>
      <c r="CE28" s="8">
        <v>-4.4999999999999997E-3</v>
      </c>
      <c r="CF28" s="8">
        <v>-8.9999999999999998E-4</v>
      </c>
      <c r="CG28" s="9">
        <v>2.8999999999999998E-3</v>
      </c>
      <c r="CH28" s="9">
        <v>5.8999999999999999E-3</v>
      </c>
      <c r="CI28" s="9">
        <v>7.3000000000000001E-3</v>
      </c>
      <c r="CJ28" s="9">
        <v>6.7999999999999996E-3</v>
      </c>
      <c r="CK28" s="9">
        <v>4.4999999999999997E-3</v>
      </c>
      <c r="CL28" s="9">
        <v>8.9999999999999998E-4</v>
      </c>
      <c r="CO28" s="2">
        <v>23</v>
      </c>
      <c r="CP28" s="8">
        <v>4.1000000000000003E-3</v>
      </c>
      <c r="CQ28" s="8">
        <v>8.3000000000000001E-3</v>
      </c>
      <c r="CR28" s="8">
        <v>1.03E-2</v>
      </c>
      <c r="CS28" s="8">
        <v>9.5999999999999992E-3</v>
      </c>
      <c r="CT28" s="8">
        <v>6.3E-3</v>
      </c>
      <c r="CU28" s="8">
        <v>1.2999999999999999E-3</v>
      </c>
      <c r="CV28" s="9">
        <v>-4.1000000000000003E-3</v>
      </c>
      <c r="CW28" s="9">
        <v>-8.3000000000000001E-3</v>
      </c>
      <c r="CX28" s="9">
        <v>-1.03E-2</v>
      </c>
      <c r="CY28" s="9">
        <v>-9.5999999999999992E-3</v>
      </c>
      <c r="CZ28" s="9">
        <v>-6.3E-3</v>
      </c>
      <c r="DA28" s="9">
        <v>-1.2999999999999999E-3</v>
      </c>
      <c r="DD28" s="2">
        <v>23</v>
      </c>
      <c r="DE28" s="8">
        <v>4.0000000000000002E-4</v>
      </c>
      <c r="DF28" s="8">
        <v>8.0000000000000004E-4</v>
      </c>
      <c r="DG28" s="8">
        <v>1E-3</v>
      </c>
      <c r="DH28" s="8">
        <v>8.9999999999999998E-4</v>
      </c>
      <c r="DI28" s="8">
        <v>5.9999999999999995E-4</v>
      </c>
      <c r="DJ28" s="8">
        <v>1E-4</v>
      </c>
      <c r="DK28" s="9">
        <v>-4.0000000000000002E-4</v>
      </c>
      <c r="DL28" s="9">
        <v>-8.0000000000000004E-4</v>
      </c>
      <c r="DM28" s="9">
        <v>-1E-3</v>
      </c>
      <c r="DN28" s="9">
        <v>-8.9999999999999998E-4</v>
      </c>
      <c r="DO28" s="9">
        <v>-5.9999999999999995E-4</v>
      </c>
      <c r="DP28" s="9">
        <v>-1E-4</v>
      </c>
    </row>
    <row r="29" spans="3:120" ht="16" thickBot="1" x14ac:dyDescent="0.4">
      <c r="C29" s="2">
        <v>24</v>
      </c>
      <c r="D29" s="8">
        <v>7.0499999999999993E-2</v>
      </c>
      <c r="E29" s="8">
        <v>0.14030000000000001</v>
      </c>
      <c r="F29" s="8">
        <v>0.17249999999999999</v>
      </c>
      <c r="G29" s="8">
        <v>0.15840000000000001</v>
      </c>
      <c r="H29" s="8">
        <v>0.1019</v>
      </c>
      <c r="I29" s="8">
        <v>1.8100000000000002E-2</v>
      </c>
      <c r="J29" s="9">
        <v>-7.0499999999999993E-2</v>
      </c>
      <c r="K29" s="9">
        <v>-0.14030000000000001</v>
      </c>
      <c r="L29" s="9">
        <v>-0.17249999999999999</v>
      </c>
      <c r="M29" s="9">
        <v>-0.15840000000000001</v>
      </c>
      <c r="N29" s="9">
        <v>-0.1019</v>
      </c>
      <c r="O29" s="9">
        <v>-1.8100000000000002E-2</v>
      </c>
      <c r="R29" s="2">
        <v>24</v>
      </c>
      <c r="S29" s="8">
        <v>8.9999999999999998E-4</v>
      </c>
      <c r="T29" s="8">
        <v>1.6999999999999999E-3</v>
      </c>
      <c r="U29" s="8">
        <v>2.0999999999999999E-3</v>
      </c>
      <c r="V29" s="8">
        <v>1.9E-3</v>
      </c>
      <c r="W29" s="8">
        <v>1.1999999999999999E-3</v>
      </c>
      <c r="X29" s="8">
        <v>2.0000000000000001E-4</v>
      </c>
      <c r="Y29" s="9">
        <v>-8.9999999999999998E-4</v>
      </c>
      <c r="Z29" s="9">
        <v>-1.6999999999999999E-3</v>
      </c>
      <c r="AA29" s="9">
        <v>-2.0999999999999999E-3</v>
      </c>
      <c r="AB29" s="9">
        <v>-1.9E-3</v>
      </c>
      <c r="AC29" s="9">
        <v>-1.1999999999999999E-3</v>
      </c>
      <c r="AD29" s="9">
        <v>-2.0000000000000001E-4</v>
      </c>
      <c r="AG29" s="13">
        <v>24</v>
      </c>
      <c r="AH29" s="13">
        <v>-0.16550000000000001</v>
      </c>
      <c r="AI29" s="13">
        <v>-0.3291</v>
      </c>
      <c r="AJ29" s="13">
        <v>-0.40460000000000002</v>
      </c>
      <c r="AK29" s="13">
        <v>-0.37159999999999999</v>
      </c>
      <c r="AL29" s="13">
        <v>-0.23910000000000001</v>
      </c>
      <c r="AM29" s="13">
        <v>-4.2500000000000003E-2</v>
      </c>
      <c r="AN29" s="13">
        <v>0.16550000000000001</v>
      </c>
      <c r="AO29" s="13">
        <v>0.3291</v>
      </c>
      <c r="AP29" s="13">
        <v>0.40460000000000002</v>
      </c>
      <c r="AQ29" s="13">
        <v>0.37159999999999999</v>
      </c>
      <c r="AR29" s="13">
        <v>0.23910000000000001</v>
      </c>
      <c r="AS29" s="13">
        <v>4.2500000000000003E-2</v>
      </c>
      <c r="AV29" s="13" t="s">
        <v>82</v>
      </c>
      <c r="AW29" s="13">
        <v>6.4999999999999997E-3</v>
      </c>
      <c r="AX29" s="13" t="s">
        <v>51</v>
      </c>
      <c r="AY29" s="13" t="s">
        <v>48</v>
      </c>
      <c r="AZ29" s="13">
        <v>1.47E-2</v>
      </c>
      <c r="BA29" s="13">
        <v>9.4999999999999998E-3</v>
      </c>
      <c r="BB29" s="13">
        <v>1.6999999999999999E-3</v>
      </c>
      <c r="BC29" s="13">
        <v>-6.4999999999999997E-3</v>
      </c>
      <c r="BD29" s="13" t="s">
        <v>52</v>
      </c>
      <c r="BE29" s="13" t="s">
        <v>49</v>
      </c>
      <c r="BF29" s="13">
        <v>-1.47E-2</v>
      </c>
      <c r="BG29" s="13">
        <v>-9.4999999999999998E-3</v>
      </c>
      <c r="BH29" s="13">
        <v>-1.6999999999999999E-3</v>
      </c>
      <c r="BK29" s="2">
        <v>24</v>
      </c>
      <c r="BL29" s="8">
        <v>-2.0999999999999999E-3</v>
      </c>
      <c r="BM29" s="8">
        <v>-4.1000000000000003E-3</v>
      </c>
      <c r="BN29" s="8">
        <v>-5.1000000000000004E-3</v>
      </c>
      <c r="BO29" s="8">
        <v>-4.7000000000000002E-3</v>
      </c>
      <c r="BP29" s="8">
        <v>-3.0000000000000001E-3</v>
      </c>
      <c r="BQ29" s="8">
        <v>-5.0000000000000001E-4</v>
      </c>
      <c r="BR29" s="9">
        <v>2.0999999999999999E-3</v>
      </c>
      <c r="BS29" s="9">
        <v>4.1000000000000003E-3</v>
      </c>
      <c r="BT29" s="9">
        <v>5.1000000000000004E-3</v>
      </c>
      <c r="BU29" s="9">
        <v>4.7000000000000002E-3</v>
      </c>
      <c r="BV29" s="9">
        <v>3.0000000000000001E-3</v>
      </c>
      <c r="BW29" s="9">
        <v>5.0000000000000001E-4</v>
      </c>
      <c r="BZ29" s="2">
        <v>24</v>
      </c>
      <c r="CA29" s="8">
        <v>-3.0000000000000001E-3</v>
      </c>
      <c r="CB29" s="8">
        <v>-6.0000000000000001E-3</v>
      </c>
      <c r="CC29" s="8">
        <v>-7.4000000000000003E-3</v>
      </c>
      <c r="CD29" s="8">
        <v>-6.7999999999999996E-3</v>
      </c>
      <c r="CE29" s="8">
        <v>-4.3E-3</v>
      </c>
      <c r="CF29" s="8">
        <v>-8.0000000000000004E-4</v>
      </c>
      <c r="CG29" s="9">
        <v>3.0000000000000001E-3</v>
      </c>
      <c r="CH29" s="9">
        <v>6.0000000000000001E-3</v>
      </c>
      <c r="CI29" s="9">
        <v>7.4000000000000003E-3</v>
      </c>
      <c r="CJ29" s="9">
        <v>6.7999999999999996E-3</v>
      </c>
      <c r="CK29" s="9">
        <v>4.3E-3</v>
      </c>
      <c r="CL29" s="9">
        <v>8.0000000000000004E-4</v>
      </c>
      <c r="CO29" s="2">
        <v>24</v>
      </c>
      <c r="CP29" s="8">
        <v>4.1999999999999997E-3</v>
      </c>
      <c r="CQ29" s="8">
        <v>8.3999999999999995E-3</v>
      </c>
      <c r="CR29" s="8">
        <v>1.03E-2</v>
      </c>
      <c r="CS29" s="8">
        <v>9.4999999999999998E-3</v>
      </c>
      <c r="CT29" s="8">
        <v>6.1000000000000004E-3</v>
      </c>
      <c r="CU29" s="8">
        <v>1.1000000000000001E-3</v>
      </c>
      <c r="CV29" s="9">
        <v>-4.1999999999999997E-3</v>
      </c>
      <c r="CW29" s="9">
        <v>-8.3999999999999995E-3</v>
      </c>
      <c r="CX29" s="9">
        <v>-1.03E-2</v>
      </c>
      <c r="CY29" s="9">
        <v>-9.4999999999999998E-3</v>
      </c>
      <c r="CZ29" s="9">
        <v>-6.1000000000000004E-3</v>
      </c>
      <c r="DA29" s="9">
        <v>-1.1000000000000001E-3</v>
      </c>
      <c r="DD29" s="2">
        <v>24</v>
      </c>
      <c r="DE29" s="8">
        <v>4.0000000000000002E-4</v>
      </c>
      <c r="DF29" s="8">
        <v>8.0000000000000004E-4</v>
      </c>
      <c r="DG29" s="8">
        <v>1E-3</v>
      </c>
      <c r="DH29" s="8">
        <v>8.9999999999999998E-4</v>
      </c>
      <c r="DI29" s="8">
        <v>5.9999999999999995E-4</v>
      </c>
      <c r="DJ29" s="8">
        <v>1E-4</v>
      </c>
      <c r="DK29" s="9">
        <v>-4.0000000000000002E-4</v>
      </c>
      <c r="DL29" s="9">
        <v>-8.0000000000000004E-4</v>
      </c>
      <c r="DM29" s="9">
        <v>-1E-3</v>
      </c>
      <c r="DN29" s="9">
        <v>-8.9999999999999998E-4</v>
      </c>
      <c r="DO29" s="9">
        <v>-5.9999999999999995E-4</v>
      </c>
      <c r="DP29" s="9">
        <v>-1E-4</v>
      </c>
    </row>
    <row r="30" spans="3:120" ht="16" thickBot="1" x14ac:dyDescent="0.4">
      <c r="C30" s="2">
        <v>25</v>
      </c>
      <c r="D30" s="8">
        <v>7.3300000000000004E-2</v>
      </c>
      <c r="E30" s="8">
        <v>0.14199999999999999</v>
      </c>
      <c r="F30" s="8">
        <v>0.17269999999999999</v>
      </c>
      <c r="G30" s="8">
        <v>0.15720000000000001</v>
      </c>
      <c r="H30" s="8">
        <v>9.9500000000000005E-2</v>
      </c>
      <c r="I30" s="8">
        <v>1.5100000000000001E-2</v>
      </c>
      <c r="J30" s="9">
        <v>-7.3300000000000004E-2</v>
      </c>
      <c r="K30" s="9">
        <v>-0.14199999999999999</v>
      </c>
      <c r="L30" s="9">
        <v>-0.17269999999999999</v>
      </c>
      <c r="M30" s="9">
        <v>-0.15720000000000001</v>
      </c>
      <c r="N30" s="9">
        <v>-9.9500000000000005E-2</v>
      </c>
      <c r="O30" s="9">
        <v>-1.5100000000000001E-2</v>
      </c>
      <c r="R30" s="2">
        <v>25</v>
      </c>
      <c r="S30" s="8">
        <v>8.9999999999999998E-4</v>
      </c>
      <c r="T30" s="8">
        <v>1.6999999999999999E-3</v>
      </c>
      <c r="U30" s="8">
        <v>2.0999999999999999E-3</v>
      </c>
      <c r="V30" s="8">
        <v>1.9E-3</v>
      </c>
      <c r="W30" s="8">
        <v>1.1999999999999999E-3</v>
      </c>
      <c r="X30" s="8">
        <v>2.0000000000000001E-4</v>
      </c>
      <c r="Y30" s="9">
        <v>-8.9999999999999998E-4</v>
      </c>
      <c r="Z30" s="9">
        <v>-1.6999999999999999E-3</v>
      </c>
      <c r="AA30" s="9">
        <v>-2.0999999999999999E-3</v>
      </c>
      <c r="AB30" s="9">
        <v>-1.9E-3</v>
      </c>
      <c r="AC30" s="9">
        <v>-1.1999999999999999E-3</v>
      </c>
      <c r="AD30" s="9">
        <v>-2.0000000000000001E-4</v>
      </c>
      <c r="AG30" s="13">
        <v>25</v>
      </c>
      <c r="AH30" s="13">
        <v>-0.1719</v>
      </c>
      <c r="AI30" s="13">
        <v>-0.3332</v>
      </c>
      <c r="AJ30" s="13">
        <v>-0.40529999999999999</v>
      </c>
      <c r="AK30" s="13">
        <v>-0.36870000000000003</v>
      </c>
      <c r="AL30" s="13">
        <v>-0.23330000000000001</v>
      </c>
      <c r="AM30" s="13">
        <v>-3.5499999999999997E-2</v>
      </c>
      <c r="AN30" s="13">
        <v>0.1719</v>
      </c>
      <c r="AO30" s="13">
        <v>0.3332</v>
      </c>
      <c r="AP30" s="13">
        <v>0.40529999999999999</v>
      </c>
      <c r="AQ30" s="13">
        <v>0.36870000000000003</v>
      </c>
      <c r="AR30" s="13">
        <v>0.23330000000000001</v>
      </c>
      <c r="AS30" s="13">
        <v>3.5499999999999997E-2</v>
      </c>
      <c r="AV30" s="13" t="s">
        <v>83</v>
      </c>
      <c r="AW30" s="13">
        <v>6.7999999999999996E-3</v>
      </c>
      <c r="AX30" s="13">
        <v>1.32E-2</v>
      </c>
      <c r="AY30" s="13" t="s">
        <v>48</v>
      </c>
      <c r="AZ30" s="13">
        <v>1.46E-2</v>
      </c>
      <c r="BA30" s="13">
        <v>9.1999999999999998E-3</v>
      </c>
      <c r="BB30" s="13">
        <v>1.4E-3</v>
      </c>
      <c r="BC30" s="13">
        <v>-6.7999999999999996E-3</v>
      </c>
      <c r="BD30" s="13">
        <v>-1.32E-2</v>
      </c>
      <c r="BE30" s="13" t="s">
        <v>49</v>
      </c>
      <c r="BF30" s="13">
        <v>-1.46E-2</v>
      </c>
      <c r="BG30" s="13">
        <v>-9.1999999999999998E-3</v>
      </c>
      <c r="BH30" s="13">
        <v>-1.4E-3</v>
      </c>
      <c r="BK30" s="2">
        <v>25</v>
      </c>
      <c r="BL30" s="8">
        <v>-2.2000000000000001E-3</v>
      </c>
      <c r="BM30" s="8">
        <v>-4.1999999999999997E-3</v>
      </c>
      <c r="BN30" s="8">
        <v>-5.1000000000000004E-3</v>
      </c>
      <c r="BO30" s="8">
        <v>-4.5999999999999999E-3</v>
      </c>
      <c r="BP30" s="8">
        <v>-2.8999999999999998E-3</v>
      </c>
      <c r="BQ30" s="8">
        <v>-4.0000000000000002E-4</v>
      </c>
      <c r="BR30" s="9">
        <v>2.2000000000000001E-3</v>
      </c>
      <c r="BS30" s="9">
        <v>4.1999999999999997E-3</v>
      </c>
      <c r="BT30" s="9">
        <v>5.1000000000000004E-3</v>
      </c>
      <c r="BU30" s="9">
        <v>4.5999999999999999E-3</v>
      </c>
      <c r="BV30" s="9">
        <v>2.8999999999999998E-3</v>
      </c>
      <c r="BW30" s="9">
        <v>4.0000000000000002E-4</v>
      </c>
      <c r="BZ30" s="2">
        <v>25</v>
      </c>
      <c r="CA30" s="8">
        <v>-3.0999999999999999E-3</v>
      </c>
      <c r="CB30" s="8">
        <v>-6.1000000000000004E-3</v>
      </c>
      <c r="CC30" s="8">
        <v>-7.4000000000000003E-3</v>
      </c>
      <c r="CD30" s="8">
        <v>-6.7000000000000002E-3</v>
      </c>
      <c r="CE30" s="8">
        <v>-4.1999999999999997E-3</v>
      </c>
      <c r="CF30" s="8">
        <v>-5.9999999999999995E-4</v>
      </c>
      <c r="CG30" s="9">
        <v>3.0999999999999999E-3</v>
      </c>
      <c r="CH30" s="9">
        <v>6.1000000000000004E-3</v>
      </c>
      <c r="CI30" s="9">
        <v>7.4000000000000003E-3</v>
      </c>
      <c r="CJ30" s="9">
        <v>6.7000000000000002E-3</v>
      </c>
      <c r="CK30" s="9">
        <v>4.1999999999999997E-3</v>
      </c>
      <c r="CL30" s="9">
        <v>5.9999999999999995E-4</v>
      </c>
      <c r="CO30" s="2">
        <v>25</v>
      </c>
      <c r="CP30" s="8">
        <v>4.4000000000000003E-3</v>
      </c>
      <c r="CQ30" s="8">
        <v>8.5000000000000006E-3</v>
      </c>
      <c r="CR30" s="8">
        <v>1.04E-2</v>
      </c>
      <c r="CS30" s="8">
        <v>9.4000000000000004E-3</v>
      </c>
      <c r="CT30" s="8">
        <v>6.0000000000000001E-3</v>
      </c>
      <c r="CU30" s="8">
        <v>8.9999999999999998E-4</v>
      </c>
      <c r="CV30" s="9">
        <v>-4.4000000000000003E-3</v>
      </c>
      <c r="CW30" s="9">
        <v>-8.5000000000000006E-3</v>
      </c>
      <c r="CX30" s="9">
        <v>-1.04E-2</v>
      </c>
      <c r="CY30" s="9">
        <v>-9.4000000000000004E-3</v>
      </c>
      <c r="CZ30" s="9">
        <v>-6.0000000000000001E-3</v>
      </c>
      <c r="DA30" s="9">
        <v>-8.9999999999999998E-4</v>
      </c>
      <c r="DD30" s="2">
        <v>25</v>
      </c>
      <c r="DE30" s="8">
        <v>4.0000000000000002E-4</v>
      </c>
      <c r="DF30" s="8">
        <v>8.0000000000000004E-4</v>
      </c>
      <c r="DG30" s="8">
        <v>1E-3</v>
      </c>
      <c r="DH30" s="8">
        <v>8.9999999999999998E-4</v>
      </c>
      <c r="DI30" s="8">
        <v>5.9999999999999995E-4</v>
      </c>
      <c r="DJ30" s="8">
        <v>1E-4</v>
      </c>
      <c r="DK30" s="9">
        <v>-4.0000000000000002E-4</v>
      </c>
      <c r="DL30" s="9">
        <v>-8.0000000000000004E-4</v>
      </c>
      <c r="DM30" s="9">
        <v>-1E-3</v>
      </c>
      <c r="DN30" s="9">
        <v>-8.9999999999999998E-4</v>
      </c>
      <c r="DO30" s="9">
        <v>-5.9999999999999995E-4</v>
      </c>
      <c r="DP30" s="9">
        <v>-1E-4</v>
      </c>
    </row>
    <row r="31" spans="3:120" ht="16" thickBot="1" x14ac:dyDescent="0.4">
      <c r="C31" s="2">
        <v>26</v>
      </c>
      <c r="D31" s="8">
        <v>7.5999999999999998E-2</v>
      </c>
      <c r="E31" s="8">
        <v>0.14380000000000001</v>
      </c>
      <c r="F31" s="8">
        <v>0.17299999999999999</v>
      </c>
      <c r="G31" s="8">
        <v>0.15590000000000001</v>
      </c>
      <c r="H31" s="8">
        <v>9.7000000000000003E-2</v>
      </c>
      <c r="I31" s="8">
        <v>1.21E-2</v>
      </c>
      <c r="J31" s="9">
        <v>-7.5999999999999998E-2</v>
      </c>
      <c r="K31" s="9">
        <v>-0.14380000000000001</v>
      </c>
      <c r="L31" s="9">
        <v>-0.17299999999999999</v>
      </c>
      <c r="M31" s="9">
        <v>-0.15590000000000001</v>
      </c>
      <c r="N31" s="9">
        <v>-9.7000000000000003E-2</v>
      </c>
      <c r="O31" s="9">
        <v>-1.21E-2</v>
      </c>
      <c r="R31" s="2">
        <v>26</v>
      </c>
      <c r="S31" s="8">
        <v>8.9999999999999998E-4</v>
      </c>
      <c r="T31" s="8">
        <v>1.6999999999999999E-3</v>
      </c>
      <c r="U31" s="8">
        <v>2.0999999999999999E-3</v>
      </c>
      <c r="V31" s="8">
        <v>1.9E-3</v>
      </c>
      <c r="W31" s="8">
        <v>1.1999999999999999E-3</v>
      </c>
      <c r="X31" s="8">
        <v>1E-4</v>
      </c>
      <c r="Y31" s="9">
        <v>-8.9999999999999998E-4</v>
      </c>
      <c r="Z31" s="9">
        <v>-1.6999999999999999E-3</v>
      </c>
      <c r="AA31" s="9">
        <v>-2.0999999999999999E-3</v>
      </c>
      <c r="AB31" s="9">
        <v>-1.9E-3</v>
      </c>
      <c r="AC31" s="9">
        <v>-1.1999999999999999E-3</v>
      </c>
      <c r="AD31" s="9">
        <v>-1E-4</v>
      </c>
      <c r="AG31" s="13">
        <v>26</v>
      </c>
      <c r="AH31" s="13">
        <v>-0.17829999999999999</v>
      </c>
      <c r="AI31" s="13">
        <v>-0.3372</v>
      </c>
      <c r="AJ31" s="13">
        <v>-0.40579999999999999</v>
      </c>
      <c r="AK31" s="13">
        <v>-0.36559999999999998</v>
      </c>
      <c r="AL31" s="13">
        <v>-0.22750000000000001</v>
      </c>
      <c r="AM31" s="13">
        <v>-2.8400000000000002E-2</v>
      </c>
      <c r="AN31" s="13">
        <v>0.17829999999999999</v>
      </c>
      <c r="AO31" s="13">
        <v>0.3372</v>
      </c>
      <c r="AP31" s="13">
        <v>0.40579999999999999</v>
      </c>
      <c r="AQ31" s="13">
        <v>0.36559999999999998</v>
      </c>
      <c r="AR31" s="13">
        <v>0.22750000000000001</v>
      </c>
      <c r="AS31" s="13">
        <v>2.8400000000000002E-2</v>
      </c>
      <c r="AV31" s="13" t="s">
        <v>84</v>
      </c>
      <c r="AW31" s="13">
        <v>7.1000000000000004E-3</v>
      </c>
      <c r="AX31" s="13">
        <v>1.3299999999999999E-2</v>
      </c>
      <c r="AY31" s="13">
        <v>1.61E-2</v>
      </c>
      <c r="AZ31" s="13">
        <v>1.4500000000000001E-2</v>
      </c>
      <c r="BA31" s="13" t="s">
        <v>46</v>
      </c>
      <c r="BB31" s="13">
        <v>1.1000000000000001E-3</v>
      </c>
      <c r="BC31" s="13">
        <v>-7.1000000000000004E-3</v>
      </c>
      <c r="BD31" s="13">
        <v>-1.3299999999999999E-2</v>
      </c>
      <c r="BE31" s="13">
        <v>-1.61E-2</v>
      </c>
      <c r="BF31" s="13">
        <v>-1.4500000000000001E-2</v>
      </c>
      <c r="BG31" s="13" t="s">
        <v>85</v>
      </c>
      <c r="BH31" s="13">
        <v>-1.1000000000000001E-3</v>
      </c>
      <c r="BK31" s="2">
        <v>26</v>
      </c>
      <c r="BL31" s="8">
        <v>-2.2000000000000001E-3</v>
      </c>
      <c r="BM31" s="8">
        <v>-4.1999999999999997E-3</v>
      </c>
      <c r="BN31" s="8">
        <v>-5.1000000000000004E-3</v>
      </c>
      <c r="BO31" s="8">
        <v>-4.5999999999999999E-3</v>
      </c>
      <c r="BP31" s="8">
        <v>-2.8999999999999998E-3</v>
      </c>
      <c r="BQ31" s="8">
        <v>-4.0000000000000002E-4</v>
      </c>
      <c r="BR31" s="9">
        <v>2.2000000000000001E-3</v>
      </c>
      <c r="BS31" s="9">
        <v>4.1999999999999997E-3</v>
      </c>
      <c r="BT31" s="9">
        <v>5.1000000000000004E-3</v>
      </c>
      <c r="BU31" s="9">
        <v>4.5999999999999999E-3</v>
      </c>
      <c r="BV31" s="9">
        <v>2.8999999999999998E-3</v>
      </c>
      <c r="BW31" s="9">
        <v>4.0000000000000002E-4</v>
      </c>
      <c r="BZ31" s="2">
        <v>26</v>
      </c>
      <c r="CA31" s="8">
        <v>-3.2000000000000002E-3</v>
      </c>
      <c r="CB31" s="8">
        <v>-6.1000000000000004E-3</v>
      </c>
      <c r="CC31" s="8">
        <v>-7.4000000000000003E-3</v>
      </c>
      <c r="CD31" s="8">
        <v>-6.7000000000000002E-3</v>
      </c>
      <c r="CE31" s="8">
        <v>-4.1000000000000003E-3</v>
      </c>
      <c r="CF31" s="8">
        <v>-5.0000000000000001E-4</v>
      </c>
      <c r="CG31" s="9">
        <v>3.2000000000000002E-3</v>
      </c>
      <c r="CH31" s="9">
        <v>6.1000000000000004E-3</v>
      </c>
      <c r="CI31" s="9">
        <v>7.4000000000000003E-3</v>
      </c>
      <c r="CJ31" s="9">
        <v>6.7000000000000002E-3</v>
      </c>
      <c r="CK31" s="9">
        <v>4.1000000000000003E-3</v>
      </c>
      <c r="CL31" s="9">
        <v>5.0000000000000001E-4</v>
      </c>
      <c r="CO31" s="2">
        <v>26</v>
      </c>
      <c r="CP31" s="8">
        <v>4.5999999999999999E-3</v>
      </c>
      <c r="CQ31" s="8">
        <v>8.6E-3</v>
      </c>
      <c r="CR31" s="8">
        <v>1.04E-2</v>
      </c>
      <c r="CS31" s="8">
        <v>9.2999999999999992E-3</v>
      </c>
      <c r="CT31" s="8">
        <v>5.7999999999999996E-3</v>
      </c>
      <c r="CU31" s="8">
        <v>6.9999999999999999E-4</v>
      </c>
      <c r="CV31" s="9">
        <v>-4.5999999999999999E-3</v>
      </c>
      <c r="CW31" s="9">
        <v>-8.6E-3</v>
      </c>
      <c r="CX31" s="9">
        <v>-1.04E-2</v>
      </c>
      <c r="CY31" s="9">
        <v>-9.2999999999999992E-3</v>
      </c>
      <c r="CZ31" s="9">
        <v>-5.7999999999999996E-3</v>
      </c>
      <c r="DA31" s="9">
        <v>-6.9999999999999999E-4</v>
      </c>
      <c r="DD31" s="2">
        <v>26</v>
      </c>
      <c r="DE31" s="8">
        <v>4.0000000000000002E-4</v>
      </c>
      <c r="DF31" s="8">
        <v>8.0000000000000004E-4</v>
      </c>
      <c r="DG31" s="8">
        <v>1E-3</v>
      </c>
      <c r="DH31" s="8">
        <v>8.9999999999999998E-4</v>
      </c>
      <c r="DI31" s="8">
        <v>5.9999999999999995E-4</v>
      </c>
      <c r="DJ31" s="8">
        <v>1E-4</v>
      </c>
      <c r="DK31" s="9">
        <v>-4.0000000000000002E-4</v>
      </c>
      <c r="DL31" s="9">
        <v>-8.0000000000000004E-4</v>
      </c>
      <c r="DM31" s="9">
        <v>-1E-3</v>
      </c>
      <c r="DN31" s="9">
        <v>-8.9999999999999998E-4</v>
      </c>
      <c r="DO31" s="9">
        <v>-5.9999999999999995E-4</v>
      </c>
      <c r="DP31" s="9">
        <v>-1E-4</v>
      </c>
    </row>
    <row r="32" spans="3:120" ht="16" thickBot="1" x14ac:dyDescent="0.4">
      <c r="C32" s="2">
        <v>27</v>
      </c>
      <c r="D32" s="8">
        <v>7.8700000000000006E-2</v>
      </c>
      <c r="E32" s="8">
        <v>0.1454</v>
      </c>
      <c r="F32" s="8">
        <v>0.17319999999999999</v>
      </c>
      <c r="G32" s="8">
        <v>0.1545</v>
      </c>
      <c r="H32" s="8">
        <v>9.4399999999999998E-2</v>
      </c>
      <c r="I32" s="8">
        <v>9.1000000000000004E-3</v>
      </c>
      <c r="J32" s="9">
        <v>-7.8700000000000006E-2</v>
      </c>
      <c r="K32" s="9">
        <v>-0.1454</v>
      </c>
      <c r="L32" s="9">
        <v>-0.17319999999999999</v>
      </c>
      <c r="M32" s="9">
        <v>-0.1545</v>
      </c>
      <c r="N32" s="9">
        <v>-9.4399999999999998E-2</v>
      </c>
      <c r="O32" s="9">
        <v>-9.1000000000000004E-3</v>
      </c>
      <c r="R32" s="2">
        <v>27</v>
      </c>
      <c r="S32" s="8">
        <v>1E-3</v>
      </c>
      <c r="T32" s="8">
        <v>1.8E-3</v>
      </c>
      <c r="U32" s="8">
        <v>2.0999999999999999E-3</v>
      </c>
      <c r="V32" s="8">
        <v>1.9E-3</v>
      </c>
      <c r="W32" s="8">
        <v>1.1000000000000001E-3</v>
      </c>
      <c r="X32" s="8">
        <v>1E-4</v>
      </c>
      <c r="Y32" s="9">
        <v>-1E-3</v>
      </c>
      <c r="Z32" s="9">
        <v>-1.8E-3</v>
      </c>
      <c r="AA32" s="9">
        <v>-2.0999999999999999E-3</v>
      </c>
      <c r="AB32" s="9">
        <v>-1.9E-3</v>
      </c>
      <c r="AC32" s="9">
        <v>-1.1000000000000001E-3</v>
      </c>
      <c r="AD32" s="9">
        <v>-1E-4</v>
      </c>
      <c r="AG32" s="13">
        <v>27</v>
      </c>
      <c r="AH32" s="13">
        <v>-0.1847</v>
      </c>
      <c r="AI32" s="13">
        <v>-0.3412</v>
      </c>
      <c r="AJ32" s="13">
        <v>-0.40620000000000001</v>
      </c>
      <c r="AK32" s="13">
        <v>-0.36249999999999999</v>
      </c>
      <c r="AL32" s="13">
        <v>-0.22159999999999999</v>
      </c>
      <c r="AM32" s="13">
        <v>-2.1299999999999999E-2</v>
      </c>
      <c r="AN32" s="13">
        <v>0.1847</v>
      </c>
      <c r="AO32" s="13">
        <v>0.3412</v>
      </c>
      <c r="AP32" s="13">
        <v>0.40620000000000001</v>
      </c>
      <c r="AQ32" s="13">
        <v>0.36249999999999999</v>
      </c>
      <c r="AR32" s="13">
        <v>0.22159999999999999</v>
      </c>
      <c r="AS32" s="13">
        <v>2.1299999999999999E-2</v>
      </c>
      <c r="AV32" s="13" t="s">
        <v>86</v>
      </c>
      <c r="AW32" s="13">
        <v>7.3000000000000001E-3</v>
      </c>
      <c r="AX32" s="13">
        <v>1.35E-2</v>
      </c>
      <c r="AY32" s="13">
        <v>1.61E-2</v>
      </c>
      <c r="AZ32" s="13">
        <v>1.43E-2</v>
      </c>
      <c r="BA32" s="13">
        <v>8.8000000000000005E-3</v>
      </c>
      <c r="BB32" s="13">
        <v>8.0000000000000004E-4</v>
      </c>
      <c r="BC32" s="13">
        <v>-7.3000000000000001E-3</v>
      </c>
      <c r="BD32" s="13">
        <v>-1.35E-2</v>
      </c>
      <c r="BE32" s="13">
        <v>-1.61E-2</v>
      </c>
      <c r="BF32" s="13">
        <v>-1.43E-2</v>
      </c>
      <c r="BG32" s="13">
        <v>-8.8000000000000005E-3</v>
      </c>
      <c r="BH32" s="13">
        <v>-8.0000000000000004E-4</v>
      </c>
      <c r="BK32" s="2">
        <v>27</v>
      </c>
      <c r="BL32" s="8">
        <v>-2.3E-3</v>
      </c>
      <c r="BM32" s="8">
        <v>-4.3E-3</v>
      </c>
      <c r="BN32" s="8">
        <v>-5.1000000000000004E-3</v>
      </c>
      <c r="BO32" s="8">
        <v>-4.4999999999999997E-3</v>
      </c>
      <c r="BP32" s="8">
        <v>-2.8E-3</v>
      </c>
      <c r="BQ32" s="8">
        <v>-2.9999999999999997E-4</v>
      </c>
      <c r="BR32" s="9">
        <v>2.3E-3</v>
      </c>
      <c r="BS32" s="9">
        <v>4.3E-3</v>
      </c>
      <c r="BT32" s="9">
        <v>5.1000000000000004E-3</v>
      </c>
      <c r="BU32" s="9">
        <v>4.4999999999999997E-3</v>
      </c>
      <c r="BV32" s="9">
        <v>2.8E-3</v>
      </c>
      <c r="BW32" s="9">
        <v>2.9999999999999997E-4</v>
      </c>
      <c r="BZ32" s="2">
        <v>27</v>
      </c>
      <c r="CA32" s="8">
        <v>-3.3999999999999998E-3</v>
      </c>
      <c r="CB32" s="8">
        <v>-6.1999999999999998E-3</v>
      </c>
      <c r="CC32" s="8">
        <v>-7.4000000000000003E-3</v>
      </c>
      <c r="CD32" s="8">
        <v>-6.6E-3</v>
      </c>
      <c r="CE32" s="8">
        <v>-4.0000000000000001E-3</v>
      </c>
      <c r="CF32" s="8">
        <v>-4.0000000000000002E-4</v>
      </c>
      <c r="CG32" s="9">
        <v>3.3999999999999998E-3</v>
      </c>
      <c r="CH32" s="9">
        <v>6.1999999999999998E-3</v>
      </c>
      <c r="CI32" s="9">
        <v>7.4000000000000003E-3</v>
      </c>
      <c r="CJ32" s="9">
        <v>6.6E-3</v>
      </c>
      <c r="CK32" s="9">
        <v>4.0000000000000001E-3</v>
      </c>
      <c r="CL32" s="9">
        <v>4.0000000000000002E-4</v>
      </c>
      <c r="CO32" s="2">
        <v>27</v>
      </c>
      <c r="CP32" s="8">
        <v>4.7000000000000002E-3</v>
      </c>
      <c r="CQ32" s="8">
        <v>8.6999999999999994E-3</v>
      </c>
      <c r="CR32" s="8">
        <v>1.04E-2</v>
      </c>
      <c r="CS32" s="8">
        <v>9.2999999999999992E-3</v>
      </c>
      <c r="CT32" s="8">
        <v>5.7000000000000002E-3</v>
      </c>
      <c r="CU32" s="8">
        <v>5.0000000000000001E-4</v>
      </c>
      <c r="CV32" s="9">
        <v>-4.7000000000000002E-3</v>
      </c>
      <c r="CW32" s="9">
        <v>-8.6999999999999994E-3</v>
      </c>
      <c r="CX32" s="9">
        <v>-1.04E-2</v>
      </c>
      <c r="CY32" s="9">
        <v>-9.2999999999999992E-3</v>
      </c>
      <c r="CZ32" s="9">
        <v>-5.7000000000000002E-3</v>
      </c>
      <c r="DA32" s="9">
        <v>-5.0000000000000001E-4</v>
      </c>
      <c r="DD32" s="2">
        <v>27</v>
      </c>
      <c r="DE32" s="8">
        <v>5.0000000000000001E-4</v>
      </c>
      <c r="DF32" s="8">
        <v>8.0000000000000004E-4</v>
      </c>
      <c r="DG32" s="8">
        <v>1E-3</v>
      </c>
      <c r="DH32" s="8">
        <v>8.9999999999999998E-4</v>
      </c>
      <c r="DI32" s="8">
        <v>5.0000000000000001E-4</v>
      </c>
      <c r="DJ32" s="8">
        <v>1E-4</v>
      </c>
      <c r="DK32" s="9">
        <v>-5.0000000000000001E-4</v>
      </c>
      <c r="DL32" s="9">
        <v>-8.0000000000000004E-4</v>
      </c>
      <c r="DM32" s="9">
        <v>-1E-3</v>
      </c>
      <c r="DN32" s="9">
        <v>-8.9999999999999998E-4</v>
      </c>
      <c r="DO32" s="9">
        <v>-5.0000000000000001E-4</v>
      </c>
      <c r="DP32" s="9">
        <v>-1E-4</v>
      </c>
    </row>
    <row r="33" spans="3:120" ht="16" thickBot="1" x14ac:dyDescent="0.4">
      <c r="C33" s="2">
        <v>28</v>
      </c>
      <c r="D33" s="8">
        <v>8.14E-2</v>
      </c>
      <c r="E33" s="8">
        <v>0.14710000000000001</v>
      </c>
      <c r="F33" s="8">
        <v>0.17330000000000001</v>
      </c>
      <c r="G33" s="8">
        <v>0.15310000000000001</v>
      </c>
      <c r="H33" s="8">
        <v>9.1899999999999996E-2</v>
      </c>
      <c r="I33" s="8">
        <v>6.1000000000000004E-3</v>
      </c>
      <c r="J33" s="9">
        <v>-8.14E-2</v>
      </c>
      <c r="K33" s="9">
        <v>-0.14710000000000001</v>
      </c>
      <c r="L33" s="9">
        <v>-0.17330000000000001</v>
      </c>
      <c r="M33" s="9">
        <v>-0.15310000000000001</v>
      </c>
      <c r="N33" s="9">
        <v>-9.1899999999999996E-2</v>
      </c>
      <c r="O33" s="9">
        <v>-6.1000000000000004E-3</v>
      </c>
      <c r="R33" s="2">
        <v>28</v>
      </c>
      <c r="S33" s="8">
        <v>1E-3</v>
      </c>
      <c r="T33" s="8">
        <v>1.8E-3</v>
      </c>
      <c r="U33" s="8">
        <v>2.0999999999999999E-3</v>
      </c>
      <c r="V33" s="8">
        <v>1.9E-3</v>
      </c>
      <c r="W33" s="8">
        <v>1.1000000000000001E-3</v>
      </c>
      <c r="X33" s="8">
        <v>1E-4</v>
      </c>
      <c r="Y33" s="9">
        <v>-1E-3</v>
      </c>
      <c r="Z33" s="9">
        <v>-1.8E-3</v>
      </c>
      <c r="AA33" s="9">
        <v>-2.0999999999999999E-3</v>
      </c>
      <c r="AB33" s="9">
        <v>-1.9E-3</v>
      </c>
      <c r="AC33" s="9">
        <v>-1.1000000000000001E-3</v>
      </c>
      <c r="AD33" s="9">
        <v>-1E-4</v>
      </c>
      <c r="AG33" s="13">
        <v>28</v>
      </c>
      <c r="AH33" s="13" t="s">
        <v>24</v>
      </c>
      <c r="AI33" s="13" t="s">
        <v>23</v>
      </c>
      <c r="AJ33" s="13">
        <v>-0.40660000000000002</v>
      </c>
      <c r="AK33" s="13">
        <v>-0.35920000000000002</v>
      </c>
      <c r="AL33" s="13">
        <v>-0.21560000000000001</v>
      </c>
      <c r="AM33" s="13">
        <v>-1.4200000000000001E-2</v>
      </c>
      <c r="AN33" s="13" t="s">
        <v>26</v>
      </c>
      <c r="AO33" s="13" t="s">
        <v>25</v>
      </c>
      <c r="AP33" s="13">
        <v>0.40660000000000002</v>
      </c>
      <c r="AQ33" s="13">
        <v>0.35920000000000002</v>
      </c>
      <c r="AR33" s="13">
        <v>0.21560000000000001</v>
      </c>
      <c r="AS33" s="13">
        <v>1.4200000000000001E-2</v>
      </c>
      <c r="AV33" s="13" t="s">
        <v>87</v>
      </c>
      <c r="AW33" s="13">
        <v>7.6E-3</v>
      </c>
      <c r="AX33" s="13">
        <v>1.37E-2</v>
      </c>
      <c r="AY33" s="13">
        <v>1.61E-2</v>
      </c>
      <c r="AZ33" s="13">
        <v>1.4200000000000001E-2</v>
      </c>
      <c r="BA33" s="13">
        <v>8.5000000000000006E-3</v>
      </c>
      <c r="BB33" s="13">
        <v>5.9999999999999995E-4</v>
      </c>
      <c r="BC33" s="13">
        <v>-7.6E-3</v>
      </c>
      <c r="BD33" s="13">
        <v>-1.37E-2</v>
      </c>
      <c r="BE33" s="13">
        <v>-1.61E-2</v>
      </c>
      <c r="BF33" s="13">
        <v>-1.4200000000000001E-2</v>
      </c>
      <c r="BG33" s="13">
        <v>-8.5000000000000006E-3</v>
      </c>
      <c r="BH33" s="13">
        <v>-5.9999999999999995E-4</v>
      </c>
      <c r="BK33" s="2">
        <v>28</v>
      </c>
      <c r="BL33" s="8">
        <v>-2.3999999999999998E-3</v>
      </c>
      <c r="BM33" s="8">
        <v>-4.3E-3</v>
      </c>
      <c r="BN33" s="8">
        <v>-5.1000000000000004E-3</v>
      </c>
      <c r="BO33" s="8">
        <v>-4.4999999999999997E-3</v>
      </c>
      <c r="BP33" s="8">
        <v>-2.7000000000000001E-3</v>
      </c>
      <c r="BQ33" s="8">
        <v>-2.0000000000000001E-4</v>
      </c>
      <c r="BR33" s="9">
        <v>2.3999999999999998E-3</v>
      </c>
      <c r="BS33" s="9">
        <v>4.3E-3</v>
      </c>
      <c r="BT33" s="9">
        <v>5.1000000000000004E-3</v>
      </c>
      <c r="BU33" s="9">
        <v>4.4999999999999997E-3</v>
      </c>
      <c r="BV33" s="9">
        <v>2.7000000000000001E-3</v>
      </c>
      <c r="BW33" s="9">
        <v>2.0000000000000001E-4</v>
      </c>
      <c r="BZ33" s="2">
        <v>28</v>
      </c>
      <c r="CA33" s="8">
        <v>-3.5000000000000001E-3</v>
      </c>
      <c r="CB33" s="8">
        <v>-6.3E-3</v>
      </c>
      <c r="CC33" s="8">
        <v>-7.4000000000000003E-3</v>
      </c>
      <c r="CD33" s="8">
        <v>-6.4999999999999997E-3</v>
      </c>
      <c r="CE33" s="8">
        <v>-3.8999999999999998E-3</v>
      </c>
      <c r="CF33" s="8">
        <v>-2.9999999999999997E-4</v>
      </c>
      <c r="CG33" s="9">
        <v>3.5000000000000001E-3</v>
      </c>
      <c r="CH33" s="9">
        <v>6.3E-3</v>
      </c>
      <c r="CI33" s="9">
        <v>7.4000000000000003E-3</v>
      </c>
      <c r="CJ33" s="9">
        <v>6.4999999999999997E-3</v>
      </c>
      <c r="CK33" s="9">
        <v>3.8999999999999998E-3</v>
      </c>
      <c r="CL33" s="9">
        <v>2.9999999999999997E-4</v>
      </c>
      <c r="CO33" s="2">
        <v>28</v>
      </c>
      <c r="CP33" s="8">
        <v>4.8999999999999998E-3</v>
      </c>
      <c r="CQ33" s="8">
        <v>8.8000000000000005E-3</v>
      </c>
      <c r="CR33" s="8">
        <v>1.04E-2</v>
      </c>
      <c r="CS33" s="8">
        <v>9.1999999999999998E-3</v>
      </c>
      <c r="CT33" s="8">
        <v>5.4999999999999997E-3</v>
      </c>
      <c r="CU33" s="8">
        <v>4.0000000000000002E-4</v>
      </c>
      <c r="CV33" s="9">
        <v>-4.8999999999999998E-3</v>
      </c>
      <c r="CW33" s="9">
        <v>-8.8000000000000005E-3</v>
      </c>
      <c r="CX33" s="9">
        <v>-1.04E-2</v>
      </c>
      <c r="CY33" s="9">
        <v>-9.1999999999999998E-3</v>
      </c>
      <c r="CZ33" s="9">
        <v>-5.4999999999999997E-3</v>
      </c>
      <c r="DA33" s="9">
        <v>-4.0000000000000002E-4</v>
      </c>
      <c r="DD33" s="2">
        <v>28</v>
      </c>
      <c r="DE33" s="8">
        <v>5.0000000000000001E-4</v>
      </c>
      <c r="DF33" s="8">
        <v>8.0000000000000004E-4</v>
      </c>
      <c r="DG33" s="8">
        <v>1E-3</v>
      </c>
      <c r="DH33" s="8">
        <v>8.9999999999999998E-4</v>
      </c>
      <c r="DI33" s="8">
        <v>5.0000000000000001E-4</v>
      </c>
      <c r="DJ33" s="8">
        <v>0</v>
      </c>
      <c r="DK33" s="9">
        <v>-5.0000000000000001E-4</v>
      </c>
      <c r="DL33" s="9">
        <v>-8.0000000000000004E-4</v>
      </c>
      <c r="DM33" s="9">
        <v>-1E-3</v>
      </c>
      <c r="DN33" s="9">
        <v>-8.9999999999999998E-4</v>
      </c>
      <c r="DO33" s="9">
        <v>-5.0000000000000001E-4</v>
      </c>
      <c r="DP33" s="9">
        <v>0</v>
      </c>
    </row>
    <row r="34" spans="3:120" ht="16" thickBot="1" x14ac:dyDescent="0.4">
      <c r="C34" s="2">
        <v>29</v>
      </c>
      <c r="D34" s="8">
        <v>8.4099999999999994E-2</v>
      </c>
      <c r="E34" s="8">
        <v>0.14860000000000001</v>
      </c>
      <c r="F34" s="8">
        <v>0.1734</v>
      </c>
      <c r="G34" s="8">
        <v>0.1517</v>
      </c>
      <c r="H34" s="8">
        <v>8.9300000000000004E-2</v>
      </c>
      <c r="I34" s="8">
        <v>3.0000000000000001E-3</v>
      </c>
      <c r="J34" s="9">
        <v>-8.4099999999999994E-2</v>
      </c>
      <c r="K34" s="9">
        <v>-0.14860000000000001</v>
      </c>
      <c r="L34" s="9">
        <v>-0.1734</v>
      </c>
      <c r="M34" s="9">
        <v>-0.1517</v>
      </c>
      <c r="N34" s="9">
        <v>-8.9300000000000004E-2</v>
      </c>
      <c r="O34" s="9">
        <v>-3.0000000000000001E-3</v>
      </c>
      <c r="R34" s="2">
        <v>29</v>
      </c>
      <c r="S34" s="8">
        <v>1E-3</v>
      </c>
      <c r="T34" s="8">
        <v>1.8E-3</v>
      </c>
      <c r="U34" s="8">
        <v>2.0999999999999999E-3</v>
      </c>
      <c r="V34" s="8">
        <v>1.8E-3</v>
      </c>
      <c r="W34" s="8">
        <v>1.1000000000000001E-3</v>
      </c>
      <c r="X34" s="8">
        <v>0</v>
      </c>
      <c r="Y34" s="9">
        <v>-1E-3</v>
      </c>
      <c r="Z34" s="9">
        <v>-1.8E-3</v>
      </c>
      <c r="AA34" s="9">
        <v>-2.0999999999999999E-3</v>
      </c>
      <c r="AB34" s="9">
        <v>-1.8E-3</v>
      </c>
      <c r="AC34" s="9">
        <v>-1.1000000000000001E-3</v>
      </c>
      <c r="AD34" s="9">
        <v>0</v>
      </c>
      <c r="AG34" s="13">
        <v>29</v>
      </c>
      <c r="AH34" s="13">
        <v>-0.19719999999999999</v>
      </c>
      <c r="AI34" s="13">
        <v>-0.34870000000000001</v>
      </c>
      <c r="AJ34" s="13">
        <v>-0.40670000000000001</v>
      </c>
      <c r="AK34" s="13">
        <v>-0.35580000000000001</v>
      </c>
      <c r="AL34" s="13">
        <v>-0.20949999999999999</v>
      </c>
      <c r="AM34" s="13">
        <v>-7.1000000000000004E-3</v>
      </c>
      <c r="AN34" s="13">
        <v>0.19719999999999999</v>
      </c>
      <c r="AO34" s="13">
        <v>0.34870000000000001</v>
      </c>
      <c r="AP34" s="13">
        <v>0.40670000000000001</v>
      </c>
      <c r="AQ34" s="13">
        <v>0.35580000000000001</v>
      </c>
      <c r="AR34" s="13">
        <v>0.20949999999999999</v>
      </c>
      <c r="AS34" s="13">
        <v>7.1000000000000004E-3</v>
      </c>
      <c r="AV34" s="13" t="s">
        <v>88</v>
      </c>
      <c r="AW34" s="13">
        <v>7.7999999999999996E-3</v>
      </c>
      <c r="AX34" s="13">
        <v>1.38E-2</v>
      </c>
      <c r="AY34" s="13">
        <v>1.61E-2</v>
      </c>
      <c r="AZ34" s="13">
        <v>1.41E-2</v>
      </c>
      <c r="BA34" s="13">
        <v>8.3000000000000001E-3</v>
      </c>
      <c r="BB34" s="13">
        <v>2.9999999999999997E-4</v>
      </c>
      <c r="BC34" s="13">
        <v>-7.7999999999999996E-3</v>
      </c>
      <c r="BD34" s="13">
        <v>-1.38E-2</v>
      </c>
      <c r="BE34" s="13">
        <v>-1.61E-2</v>
      </c>
      <c r="BF34" s="13">
        <v>-1.41E-2</v>
      </c>
      <c r="BG34" s="13">
        <v>-8.3000000000000001E-3</v>
      </c>
      <c r="BH34" s="13">
        <v>-2.9999999999999997E-4</v>
      </c>
      <c r="BK34" s="2">
        <v>29</v>
      </c>
      <c r="BL34" s="8">
        <v>-2.5000000000000001E-3</v>
      </c>
      <c r="BM34" s="8">
        <v>-4.4000000000000003E-3</v>
      </c>
      <c r="BN34" s="8">
        <v>-5.1000000000000004E-3</v>
      </c>
      <c r="BO34" s="8">
        <v>-4.4999999999999997E-3</v>
      </c>
      <c r="BP34" s="8">
        <v>-2.5999999999999999E-3</v>
      </c>
      <c r="BQ34" s="8">
        <v>-1E-4</v>
      </c>
      <c r="BR34" s="9">
        <v>2.5000000000000001E-3</v>
      </c>
      <c r="BS34" s="9">
        <v>4.4000000000000003E-3</v>
      </c>
      <c r="BT34" s="9">
        <v>5.1000000000000004E-3</v>
      </c>
      <c r="BU34" s="9">
        <v>4.4999999999999997E-3</v>
      </c>
      <c r="BV34" s="9">
        <v>2.5999999999999999E-3</v>
      </c>
      <c r="BW34" s="9">
        <v>1E-4</v>
      </c>
      <c r="BZ34" s="2">
        <v>29</v>
      </c>
      <c r="CA34" s="8">
        <v>-3.5999999999999999E-3</v>
      </c>
      <c r="CB34" s="8">
        <v>-6.3E-3</v>
      </c>
      <c r="CC34" s="8">
        <v>-7.4000000000000003E-3</v>
      </c>
      <c r="CD34" s="8">
        <v>-6.4999999999999997E-3</v>
      </c>
      <c r="CE34" s="8">
        <v>-3.8E-3</v>
      </c>
      <c r="CF34" s="8">
        <v>-1E-4</v>
      </c>
      <c r="CG34" s="9">
        <v>3.5999999999999999E-3</v>
      </c>
      <c r="CH34" s="9">
        <v>6.3E-3</v>
      </c>
      <c r="CI34" s="9">
        <v>7.4000000000000003E-3</v>
      </c>
      <c r="CJ34" s="9">
        <v>6.4999999999999997E-3</v>
      </c>
      <c r="CK34" s="9">
        <v>3.8E-3</v>
      </c>
      <c r="CL34" s="9">
        <v>1E-4</v>
      </c>
      <c r="CO34" s="2">
        <v>29</v>
      </c>
      <c r="CP34" s="8">
        <v>5.0000000000000001E-3</v>
      </c>
      <c r="CQ34" s="8">
        <v>8.8999999999999999E-3</v>
      </c>
      <c r="CR34" s="8">
        <v>1.04E-2</v>
      </c>
      <c r="CS34" s="8">
        <v>9.1000000000000004E-3</v>
      </c>
      <c r="CT34" s="8">
        <v>5.4000000000000003E-3</v>
      </c>
      <c r="CU34" s="8">
        <v>2.0000000000000001E-4</v>
      </c>
      <c r="CV34" s="9">
        <v>-5.0000000000000001E-3</v>
      </c>
      <c r="CW34" s="9">
        <v>-8.8999999999999999E-3</v>
      </c>
      <c r="CX34" s="9">
        <v>-1.04E-2</v>
      </c>
      <c r="CY34" s="9">
        <v>-9.1000000000000004E-3</v>
      </c>
      <c r="CZ34" s="9">
        <v>-5.4000000000000003E-3</v>
      </c>
      <c r="DA34" s="9">
        <v>-2.0000000000000001E-4</v>
      </c>
      <c r="DD34" s="2">
        <v>29</v>
      </c>
      <c r="DE34" s="8">
        <v>5.0000000000000001E-4</v>
      </c>
      <c r="DF34" s="8">
        <v>8.9999999999999998E-4</v>
      </c>
      <c r="DG34" s="8">
        <v>1E-3</v>
      </c>
      <c r="DH34" s="8">
        <v>8.9999999999999998E-4</v>
      </c>
      <c r="DI34" s="8">
        <v>5.0000000000000001E-4</v>
      </c>
      <c r="DJ34" s="8">
        <v>0</v>
      </c>
      <c r="DK34" s="9">
        <v>-5.0000000000000001E-4</v>
      </c>
      <c r="DL34" s="9">
        <v>-8.9999999999999998E-4</v>
      </c>
      <c r="DM34" s="9">
        <v>-1E-3</v>
      </c>
      <c r="DN34" s="9">
        <v>-8.9999999999999998E-4</v>
      </c>
      <c r="DO34" s="9">
        <v>-5.0000000000000001E-4</v>
      </c>
      <c r="DP34" s="9">
        <v>0</v>
      </c>
    </row>
    <row r="35" spans="3:120" ht="16" thickBot="1" x14ac:dyDescent="0.4">
      <c r="C35" s="2">
        <v>30</v>
      </c>
      <c r="D35" s="8">
        <v>8.6699999999999999E-2</v>
      </c>
      <c r="E35" s="8">
        <v>0.1502</v>
      </c>
      <c r="F35" s="8">
        <v>0.1734</v>
      </c>
      <c r="G35" s="8">
        <v>0.1502</v>
      </c>
      <c r="H35" s="8">
        <v>8.6699999999999999E-2</v>
      </c>
      <c r="I35" s="8">
        <v>0</v>
      </c>
      <c r="J35" s="9">
        <v>-8.6699999999999999E-2</v>
      </c>
      <c r="K35" s="9">
        <v>-0.1502</v>
      </c>
      <c r="L35" s="9">
        <v>-0.1734</v>
      </c>
      <c r="M35" s="9">
        <v>-0.1502</v>
      </c>
      <c r="N35" s="9">
        <v>-8.6699999999999999E-2</v>
      </c>
      <c r="O35" s="9">
        <v>0</v>
      </c>
      <c r="R35" s="2">
        <v>30</v>
      </c>
      <c r="S35" s="8">
        <v>1.1000000000000001E-3</v>
      </c>
      <c r="T35" s="8">
        <v>1.8E-3</v>
      </c>
      <c r="U35" s="8">
        <v>2.0999999999999999E-3</v>
      </c>
      <c r="V35" s="8">
        <v>1.8E-3</v>
      </c>
      <c r="W35" s="8">
        <v>1.1000000000000001E-3</v>
      </c>
      <c r="X35" s="8">
        <v>0</v>
      </c>
      <c r="Y35" s="9">
        <v>-1.1000000000000001E-3</v>
      </c>
      <c r="Z35" s="9">
        <v>-1.8E-3</v>
      </c>
      <c r="AA35" s="9">
        <v>-2.0999999999999999E-3</v>
      </c>
      <c r="AB35" s="9">
        <v>-1.8E-3</v>
      </c>
      <c r="AC35" s="9">
        <v>-1.1000000000000001E-3</v>
      </c>
      <c r="AD35" s="9">
        <v>0</v>
      </c>
      <c r="AG35" s="13">
        <v>30</v>
      </c>
      <c r="AH35" s="13">
        <v>-0.2034</v>
      </c>
      <c r="AI35" s="13">
        <v>-0.3523</v>
      </c>
      <c r="AJ35" s="13">
        <v>-0.40679999999999999</v>
      </c>
      <c r="AK35" s="13">
        <v>-0.3523</v>
      </c>
      <c r="AL35" s="13">
        <v>-0.2034</v>
      </c>
      <c r="AM35" s="13" t="s">
        <v>22</v>
      </c>
      <c r="AN35" s="13">
        <v>0.2034</v>
      </c>
      <c r="AO35" s="13">
        <v>0.3523</v>
      </c>
      <c r="AP35" s="13">
        <v>0.40679999999999999</v>
      </c>
      <c r="AQ35" s="13">
        <v>0.3523</v>
      </c>
      <c r="AR35" s="13">
        <v>0.2034</v>
      </c>
      <c r="AS35" s="13" t="s">
        <v>22</v>
      </c>
      <c r="AV35" s="13" t="s">
        <v>17</v>
      </c>
      <c r="AW35" s="13">
        <v>8.0999999999999996E-3</v>
      </c>
      <c r="AX35" s="13">
        <v>1.3899999999999999E-2</v>
      </c>
      <c r="AY35" s="13">
        <v>1.61E-2</v>
      </c>
      <c r="AZ35" s="13">
        <v>1.3899999999999999E-2</v>
      </c>
      <c r="BA35" s="13">
        <v>8.0999999999999996E-3</v>
      </c>
      <c r="BB35" s="13" t="s">
        <v>22</v>
      </c>
      <c r="BC35" s="13">
        <v>-8.0999999999999996E-3</v>
      </c>
      <c r="BD35" s="13">
        <v>-1.3899999999999999E-2</v>
      </c>
      <c r="BE35" s="13">
        <v>-1.61E-2</v>
      </c>
      <c r="BF35" s="13">
        <v>-1.3899999999999999E-2</v>
      </c>
      <c r="BG35" s="13">
        <v>-8.0999999999999996E-3</v>
      </c>
      <c r="BH35" s="13" t="s">
        <v>22</v>
      </c>
      <c r="BK35" s="2">
        <v>30</v>
      </c>
      <c r="BL35" s="8">
        <v>-2.5999999999999999E-3</v>
      </c>
      <c r="BM35" s="8">
        <v>-4.4000000000000003E-3</v>
      </c>
      <c r="BN35" s="8">
        <v>-5.1000000000000004E-3</v>
      </c>
      <c r="BO35" s="8">
        <v>-4.4000000000000003E-3</v>
      </c>
      <c r="BP35" s="8">
        <v>-2.5999999999999999E-3</v>
      </c>
      <c r="BQ35" s="8">
        <v>0</v>
      </c>
      <c r="BR35" s="9">
        <v>2.5999999999999999E-3</v>
      </c>
      <c r="BS35" s="9">
        <v>4.4000000000000003E-3</v>
      </c>
      <c r="BT35" s="9">
        <v>5.1000000000000004E-3</v>
      </c>
      <c r="BU35" s="9">
        <v>4.4000000000000003E-3</v>
      </c>
      <c r="BV35" s="9">
        <v>2.5999999999999999E-3</v>
      </c>
      <c r="BW35" s="9">
        <v>0</v>
      </c>
      <c r="BZ35" s="2">
        <v>30</v>
      </c>
      <c r="CA35" s="8">
        <v>-3.7000000000000002E-3</v>
      </c>
      <c r="CB35" s="8">
        <v>-6.4000000000000003E-3</v>
      </c>
      <c r="CC35" s="8">
        <v>-7.4000000000000003E-3</v>
      </c>
      <c r="CD35" s="8">
        <v>-6.4000000000000003E-3</v>
      </c>
      <c r="CE35" s="8">
        <v>-3.7000000000000002E-3</v>
      </c>
      <c r="CF35" s="8">
        <v>0</v>
      </c>
      <c r="CG35" s="9">
        <v>3.7000000000000002E-3</v>
      </c>
      <c r="CH35" s="9">
        <v>6.4000000000000003E-3</v>
      </c>
      <c r="CI35" s="9">
        <v>7.4000000000000003E-3</v>
      </c>
      <c r="CJ35" s="9">
        <v>6.4000000000000003E-3</v>
      </c>
      <c r="CK35" s="9">
        <v>3.7000000000000002E-3</v>
      </c>
      <c r="CL35" s="9">
        <v>0</v>
      </c>
      <c r="CO35" s="2">
        <v>30</v>
      </c>
      <c r="CP35" s="8">
        <v>5.1999999999999998E-3</v>
      </c>
      <c r="CQ35" s="8">
        <v>8.9999999999999993E-3</v>
      </c>
      <c r="CR35" s="8">
        <v>1.04E-2</v>
      </c>
      <c r="CS35" s="8">
        <v>8.9999999999999993E-3</v>
      </c>
      <c r="CT35" s="8">
        <v>5.1999999999999998E-3</v>
      </c>
      <c r="CU35" s="8">
        <v>0</v>
      </c>
      <c r="CV35" s="9">
        <v>-5.1999999999999998E-3</v>
      </c>
      <c r="CW35" s="9">
        <v>-8.9999999999999993E-3</v>
      </c>
      <c r="CX35" s="9">
        <v>-1.04E-2</v>
      </c>
      <c r="CY35" s="9">
        <v>-8.9999999999999993E-3</v>
      </c>
      <c r="CZ35" s="9">
        <v>-5.1999999999999998E-3</v>
      </c>
      <c r="DA35" s="9">
        <v>0</v>
      </c>
      <c r="DD35" s="2">
        <v>30</v>
      </c>
      <c r="DE35" s="8">
        <v>5.0000000000000001E-4</v>
      </c>
      <c r="DF35" s="8">
        <v>8.9999999999999998E-4</v>
      </c>
      <c r="DG35" s="8">
        <v>1E-3</v>
      </c>
      <c r="DH35" s="8">
        <v>8.9999999999999998E-4</v>
      </c>
      <c r="DI35" s="8">
        <v>5.0000000000000001E-4</v>
      </c>
      <c r="DJ35" s="8">
        <v>0</v>
      </c>
      <c r="DK35" s="9">
        <v>-5.0000000000000001E-4</v>
      </c>
      <c r="DL35" s="9">
        <v>-8.9999999999999998E-4</v>
      </c>
      <c r="DM35" s="9">
        <v>-1E-3</v>
      </c>
      <c r="DN35" s="9">
        <v>-8.9999999999999998E-4</v>
      </c>
      <c r="DO35" s="9">
        <v>-5.0000000000000001E-4</v>
      </c>
      <c r="DP35" s="9">
        <v>0</v>
      </c>
    </row>
  </sheetData>
  <mergeCells count="8">
    <mergeCell ref="CO3:DA3"/>
    <mergeCell ref="DD3:DP3"/>
    <mergeCell ref="C3:O3"/>
    <mergeCell ref="R3:AD3"/>
    <mergeCell ref="AG3:AS3"/>
    <mergeCell ref="AV3:BH3"/>
    <mergeCell ref="BK3:BW3"/>
    <mergeCell ref="BZ3:C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AD0C-BAD1-4BD2-A7E1-1E2FBFC6E42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EC7C-4732-4675-A364-4504D00A8D53}">
  <dimension ref="C3:O70"/>
  <sheetViews>
    <sheetView workbookViewId="0">
      <selection activeCell="B38" sqref="B38:O70"/>
    </sheetView>
  </sheetViews>
  <sheetFormatPr defaultRowHeight="14.5" x14ac:dyDescent="0.35"/>
  <sheetData>
    <row r="3" spans="3:15" x14ac:dyDescent="0.35">
      <c r="C3" s="95" t="s">
        <v>504</v>
      </c>
      <c r="D3" s="96" t="s">
        <v>505</v>
      </c>
      <c r="E3" s="96"/>
      <c r="F3" s="96" t="s">
        <v>506</v>
      </c>
      <c r="G3" s="96"/>
      <c r="H3" s="96" t="s">
        <v>507</v>
      </c>
      <c r="I3" s="96"/>
      <c r="J3" s="96" t="s">
        <v>508</v>
      </c>
      <c r="K3" s="96"/>
      <c r="L3" s="96" t="s">
        <v>509</v>
      </c>
      <c r="M3" s="96"/>
      <c r="N3" s="96" t="s">
        <v>510</v>
      </c>
      <c r="O3" s="96"/>
    </row>
    <row r="4" spans="3:15" x14ac:dyDescent="0.35">
      <c r="C4" s="95"/>
      <c r="D4" s="97" t="s">
        <v>511</v>
      </c>
      <c r="E4" s="97" t="s">
        <v>512</v>
      </c>
      <c r="F4" s="97" t="s">
        <v>511</v>
      </c>
      <c r="G4" s="97" t="s">
        <v>512</v>
      </c>
      <c r="H4" s="97" t="s">
        <v>511</v>
      </c>
      <c r="I4" s="97" t="s">
        <v>512</v>
      </c>
      <c r="J4" s="97" t="s">
        <v>511</v>
      </c>
      <c r="K4" s="97" t="s">
        <v>512</v>
      </c>
      <c r="L4" s="97" t="s">
        <v>511</v>
      </c>
      <c r="M4" s="97" t="s">
        <v>512</v>
      </c>
      <c r="N4" s="97" t="s">
        <v>511</v>
      </c>
      <c r="O4" s="97" t="s">
        <v>512</v>
      </c>
    </row>
    <row r="5" spans="3:15" x14ac:dyDescent="0.35">
      <c r="C5" s="97">
        <v>1</v>
      </c>
      <c r="D5" s="98">
        <f xml:space="preserve"> -23 + (1 / 60) + (28.93 / 3600)</f>
        <v>-22.975297222222224</v>
      </c>
      <c r="E5" s="98">
        <f>(-3 / 60) + (16.48 / 3600)</f>
        <v>-4.5422222222222225E-2</v>
      </c>
      <c r="F5" s="98">
        <f xml:space="preserve"> -17 + (11 / 60) + (12.21 / 3600)</f>
        <v>-16.813275000000001</v>
      </c>
      <c r="G5" s="98">
        <f xml:space="preserve"> (-13 / 60) + (28.08 / 3600)</f>
        <v>-0.20886666666666667</v>
      </c>
      <c r="H5" s="98">
        <f xml:space="preserve"> -7 + (19 / 60) + (27.98 / 3600)</f>
        <v>-6.6755611111111115</v>
      </c>
      <c r="I5" s="98">
        <f xml:space="preserve"> (-12 / 60) + (13.08 / 3600)</f>
        <v>-0.19636666666666669</v>
      </c>
      <c r="J5" s="98">
        <f xml:space="preserve"> 4 + (48 / 60) + (18.41 / 3600)</f>
        <v>4.8051138888888891</v>
      </c>
      <c r="K5" s="98">
        <f>(-3 / 60) + ( 42.85 / 3600)</f>
        <v>-3.8097222222222227E-2</v>
      </c>
      <c r="L5" s="98">
        <f xml:space="preserve"> 15 + (16 / 60) + (59.2 / 3600)</f>
        <v>15.283111111111111</v>
      </c>
      <c r="M5" s="98">
        <f>(2 / 60) + (59.26 / 3600)</f>
        <v>4.9794444444444447E-2</v>
      </c>
      <c r="N5" s="98">
        <f xml:space="preserve"> 22 + (8 / 60) + (36.63 / 3600)</f>
        <v>22.143508333333333</v>
      </c>
      <c r="O5" s="98">
        <f>(2 / 60) + (8.35 / 3600)</f>
        <v>3.5652777777777776E-2</v>
      </c>
    </row>
    <row r="6" spans="3:15" x14ac:dyDescent="0.35">
      <c r="C6" s="97">
        <v>2</v>
      </c>
      <c r="D6" s="98">
        <f xml:space="preserve"> -22 + (56 / 60) + (27.24 / 3600)</f>
        <v>-21.059100000000001</v>
      </c>
      <c r="E6" s="98">
        <f>(-3 / 60) + (44.75 / 3600)</f>
        <v>-3.7569444444444447E-2</v>
      </c>
      <c r="F6" s="98">
        <f xml:space="preserve"> -16 + (54 / 60) + (4.73 / 3600)</f>
        <v>-15.09868611111111</v>
      </c>
      <c r="G6" s="98">
        <f>(-13 / 60) + (36.04 / 3600)</f>
        <v>-0.20665555555555556</v>
      </c>
      <c r="H6" s="98">
        <f xml:space="preserve"> -6 + (56 / 60) + (32.62 / 3600)</f>
        <v>-5.057605555555555</v>
      </c>
      <c r="I6" s="98">
        <f xml:space="preserve"> (-12 / 60) + (0.9 / 3600)</f>
        <v>-0.19975000000000001</v>
      </c>
      <c r="J6" s="98">
        <f xml:space="preserve"> 5 + (11 / 60) + (21.66 / 3600)</f>
        <v>5.1893500000000001</v>
      </c>
      <c r="K6" s="98">
        <f>(-3 / 60) + ( 25.14 / 3600)</f>
        <v>-4.3016666666666668E-2</v>
      </c>
      <c r="L6" s="98">
        <f xml:space="preserve"> 15 + (34 / 60) + (50.27 / 3600)</f>
        <v>15.580630555555555</v>
      </c>
      <c r="M6" s="98">
        <f>(3 / 60) + (5.9 / 3600)</f>
        <v>5.1638888888888894E-2</v>
      </c>
      <c r="N6" s="98">
        <f xml:space="preserve"> 22 + (16 / 60) + (17.8 / 3600)</f>
        <v>22.27161111111111</v>
      </c>
      <c r="O6" s="98">
        <f>(1 / 60) + (58.77 / 3600)</f>
        <v>3.2991666666666669E-2</v>
      </c>
    </row>
    <row r="7" spans="3:15" x14ac:dyDescent="0.35">
      <c r="C7" s="97">
        <v>3</v>
      </c>
      <c r="D7" s="98">
        <f xml:space="preserve"> -22 + (50 / 60) + (58.13 / 3600)</f>
        <v>-21.150519444444445</v>
      </c>
      <c r="E7" s="98">
        <f>(-4 / 60) + (12.68 / 3600)</f>
        <v>-6.3144444444444447E-2</v>
      </c>
      <c r="F7" s="98">
        <f xml:space="preserve"> -16 + (36 / 60) + (39.47 / 3600)</f>
        <v>-15.389036111111112</v>
      </c>
      <c r="G7" s="98">
        <f>(-13 / 60) + (43.17 / 3600)</f>
        <v>-0.204675</v>
      </c>
      <c r="H7" s="98">
        <f xml:space="preserve"> -6 + (33 / 60) + (31.36 / 3600)</f>
        <v>-5.4412888888888888</v>
      </c>
      <c r="I7" s="98">
        <f xml:space="preserve"> (-11 / 60) + (48.25 / 3600)</f>
        <v>-0.16993055555555553</v>
      </c>
      <c r="J7" s="98">
        <f xml:space="preserve"> 5 + (34 / 60) + (19.39 / 3600)</f>
        <v>5.5720527777777775</v>
      </c>
      <c r="K7" s="98">
        <f>(-3 / 60) + (7.58 / 3600)</f>
        <v>-4.7894444444444448E-2</v>
      </c>
      <c r="L7" s="98">
        <f xml:space="preserve"> 15 + (52 / 60) + (25.86 / 3600)</f>
        <v>15.873850000000001</v>
      </c>
      <c r="M7" s="98">
        <f>(3 / 60) + (11.98 / 3600)</f>
        <v>5.3327777777777779E-2</v>
      </c>
      <c r="N7" s="98">
        <f xml:space="preserve"> 22 + (23 / 60) + (35.62 / 3600)</f>
        <v>22.393227777777778</v>
      </c>
      <c r="O7" s="98">
        <f>(1 / 60) + (48.82 / 3600)</f>
        <v>3.0227777777777777E-2</v>
      </c>
    </row>
    <row r="8" spans="3:15" x14ac:dyDescent="0.35">
      <c r="C8" s="97">
        <v>4</v>
      </c>
      <c r="D8" s="98">
        <f xml:space="preserve"> -22 + (45 / 60) + (1.75 / 3600)</f>
        <v>-21.249513888888888</v>
      </c>
      <c r="E8" s="98">
        <f>(-4 / 60) + (40.25 / 3600)</f>
        <v>-5.5486111111111111E-2</v>
      </c>
      <c r="F8" s="98">
        <f xml:space="preserve"> -16 + (18 / 60) + (56.84 / 3600)</f>
        <v>-15.684211111111111</v>
      </c>
      <c r="G8" s="98">
        <f>(-13 / 60) + (49.5 / 3600)</f>
        <v>-0.20291666666666666</v>
      </c>
      <c r="H8" s="98">
        <f xml:space="preserve"> -6 + (10 / 60) + (24.61 / 3600)</f>
        <v>-5.8264972222222218</v>
      </c>
      <c r="I8" s="98">
        <f xml:space="preserve"> (-11 / 60) + (35.15 / 3600)</f>
        <v>-0.17356944444444444</v>
      </c>
      <c r="J8" s="98">
        <f xml:space="preserve"> 5 + (57 / 60) + (11.28 / 3600)</f>
        <v>5.9531333333333336</v>
      </c>
      <c r="K8" s="98">
        <f>(-2 / 60) + (50.17 / 3600)</f>
        <v>-1.9397222222222222E-2</v>
      </c>
      <c r="L8" s="98">
        <f xml:space="preserve"> 16 + (9 / 60) + (45.65 / 3600)</f>
        <v>16.162680555555553</v>
      </c>
      <c r="M8" s="98">
        <f>(3 / 60) + (17.52 / 3600)</f>
        <v>5.4866666666666668E-2</v>
      </c>
      <c r="N8" s="98">
        <f xml:space="preserve"> 22 + (30 / 60) + (29.95 / 3600)</f>
        <v>22.508319444444446</v>
      </c>
      <c r="O8" s="98">
        <f>(1 / 60) + (38.52 / 3600)</f>
        <v>2.7366666666666668E-2</v>
      </c>
    </row>
    <row r="9" spans="3:15" x14ac:dyDescent="0.35">
      <c r="C9" s="97">
        <v>5</v>
      </c>
      <c r="D9" s="98">
        <f xml:space="preserve"> -22 + (38 / 60) + (38.27 / 3600)</f>
        <v>-21.356036111111113</v>
      </c>
      <c r="E9" s="98">
        <f>(-5 / 60) + (7.41 / 3600)</f>
        <v>-8.1275E-2</v>
      </c>
      <c r="F9" s="98">
        <f xml:space="preserve"> -16 + (0 / 60) + (57.25 / 3600)</f>
        <v>-15.984097222222223</v>
      </c>
      <c r="G9" s="98">
        <f>(-13 / 60) + (55.01 / 3600)</f>
        <v>-0.20138611111111113</v>
      </c>
      <c r="H9" s="98">
        <f xml:space="preserve"> -5 + (47 / 60) + (12.75 / 3600)</f>
        <v>-4.2131249999999998</v>
      </c>
      <c r="I9" s="98">
        <f xml:space="preserve"> (-11 / 60) + (21.6 / 3600)</f>
        <v>-0.17733333333333332</v>
      </c>
      <c r="J9" s="98">
        <f xml:space="preserve"> 6 + (19 / 60) + (56.97 / 3600)</f>
        <v>6.3324916666666669</v>
      </c>
      <c r="K9" s="98">
        <f>(-2 / 60) + (32.95 / 3600)</f>
        <v>-2.4180555555555552E-2</v>
      </c>
      <c r="L9" s="98">
        <f xml:space="preserve"> 16 + (26 / 60) + (49.34 / 3600)</f>
        <v>16.447038888888891</v>
      </c>
      <c r="M9" s="98">
        <f>(3 / 60) + (22.49 / 3600)</f>
        <v>5.6247222222222226E-2</v>
      </c>
      <c r="N9" s="98">
        <f xml:space="preserve"> 22 + (37 / 60) + (0.63 / 3600)</f>
        <v>22.616841666666666</v>
      </c>
      <c r="O9" s="98">
        <f>(1 / 60) + (27.89 / 3600)</f>
        <v>2.4413888888888888E-2</v>
      </c>
    </row>
    <row r="10" spans="3:15" x14ac:dyDescent="0.35">
      <c r="C10" s="97">
        <v>6</v>
      </c>
      <c r="D10" s="98">
        <f xml:space="preserve"> -22 + (31 / 60) + (47.89 / 3600)</f>
        <v>-21.470030555555557</v>
      </c>
      <c r="E10" s="98">
        <f>(-5 / 60) + (34.15 / 3600)</f>
        <v>-7.3847222222222217E-2</v>
      </c>
      <c r="F10" s="98">
        <f xml:space="preserve"> -15 + (42 / 60) + (41.11 / 3600)</f>
        <v>-14.288580555555557</v>
      </c>
      <c r="G10" s="98">
        <f>(-13 / 60) + (59.72 / 3600)</f>
        <v>-0.2000777777777778</v>
      </c>
      <c r="H10" s="98">
        <f xml:space="preserve"> -5 + (23 / 60) + (56.18 / 3600)</f>
        <v>-4.601061111111111</v>
      </c>
      <c r="I10" s="98">
        <f xml:space="preserve"> (-11 / 60) + (7.63 / 3600)</f>
        <v>-0.18121388888888887</v>
      </c>
      <c r="J10" s="98">
        <f xml:space="preserve"> 6 + (42 / 60) + (36.12 / 3600)</f>
        <v>6.7100333333333335</v>
      </c>
      <c r="K10" s="98">
        <f>(-2 / 60) + ( 15.92 / 3600)</f>
        <v>-2.891111111111111E-2</v>
      </c>
      <c r="L10" s="98">
        <f xml:space="preserve"> 16 + (43 / 60) + (36.61 / 3600)</f>
        <v>16.726836111111108</v>
      </c>
      <c r="M10" s="98">
        <f>(3 / 60) + (26.9 / 3600)</f>
        <v>5.7472222222222223E-2</v>
      </c>
      <c r="N10" s="98">
        <f xml:space="preserve"> 22 + (43 / 60) + (7.51 / 3600)</f>
        <v>22.718752777777777</v>
      </c>
      <c r="O10" s="98">
        <f>(1 / 60) + (16.95 / 3600)</f>
        <v>2.1374999999999998E-2</v>
      </c>
    </row>
    <row r="11" spans="3:15" x14ac:dyDescent="0.35">
      <c r="C11" s="97">
        <v>7</v>
      </c>
      <c r="D11" s="98">
        <f xml:space="preserve"> -22 + (24 / 60) + (30.8 / 3600)</f>
        <v>-21.591444444444445</v>
      </c>
      <c r="E11" s="98">
        <f>(-6 / 60) + (0.44 / 3600)</f>
        <v>-9.9877777777777788E-2</v>
      </c>
      <c r="F11" s="98">
        <f xml:space="preserve"> -15 + (24 / 60) + (8.84 / 3600)</f>
        <v>-14.597544444444445</v>
      </c>
      <c r="G11" s="98">
        <f>(-14 / 60) + (3.62 / 3600)</f>
        <v>-0.23232777777777777</v>
      </c>
      <c r="H11" s="98">
        <f xml:space="preserve"> -5 + (0 / 60) + (35.28 / 3600)</f>
        <v>-4.9901999999999997</v>
      </c>
      <c r="I11" s="98">
        <f xml:space="preserve"> (-10 / 60) + (53.27 / 3600)</f>
        <v>-0.15186944444444445</v>
      </c>
      <c r="J11" s="98">
        <f xml:space="preserve"> 7 + (5 / 60) + (8.38 / 3600)</f>
        <v>7.0856611111111105</v>
      </c>
      <c r="K11" s="98">
        <f>(-1 / 60) + (59.1 / 3600)</f>
        <v>-2.5000000000000022E-4</v>
      </c>
      <c r="L11" s="98">
        <f xml:space="preserve"> 17 + (0 /60) + (7.17 / 3600)</f>
        <v>17.001991666666665</v>
      </c>
      <c r="M11" s="98">
        <f>(3 / 60) + (30.75 / 3600)</f>
        <v>5.8541666666666672E-2</v>
      </c>
      <c r="N11" s="98">
        <f xml:space="preserve"> 22 + (48 / 60) + (50.48 / 3600)</f>
        <v>22.814022222222224</v>
      </c>
      <c r="O11" s="98">
        <f>(1 / 60) + (5.71 / 3600)</f>
        <v>1.8252777777777777E-2</v>
      </c>
    </row>
    <row r="12" spans="3:15" x14ac:dyDescent="0.35">
      <c r="C12" s="97">
        <v>8</v>
      </c>
      <c r="D12" s="98">
        <f xml:space="preserve"> -22 + (16 / 60) + (47.21 / 3600)</f>
        <v>-21.720219444444446</v>
      </c>
      <c r="E12" s="98">
        <f>(-6 / 60) + (26.24 / 3600)</f>
        <v>-9.2711111111111119E-2</v>
      </c>
      <c r="F12" s="98">
        <f xml:space="preserve"> -15 + (5 / 60) + (20.84 / 3600)</f>
        <v>-14.910877777777777</v>
      </c>
      <c r="G12" s="98">
        <f>(-14 / 60) + (6.72 / 3600)</f>
        <v>-0.23146666666666668</v>
      </c>
      <c r="H12" s="98">
        <f xml:space="preserve"> -4 + (37 / 60) + (10.43 / 3600)</f>
        <v>-3.380436111111111</v>
      </c>
      <c r="I12" s="98">
        <f xml:space="preserve"> (-10 / 60) + (38.52 / 3600)</f>
        <v>-0.15596666666666664</v>
      </c>
      <c r="J12" s="98">
        <f xml:space="preserve"> 7 + (27 / 60) + (33.42 / 3600)</f>
        <v>7.4592833333333335</v>
      </c>
      <c r="K12" s="98">
        <f>(-1 / 60) + (42.51 / 3600)</f>
        <v>-4.8583333333333343E-3</v>
      </c>
      <c r="L12" s="98">
        <f xml:space="preserve"> 17 + (16 / 60) + (20.7 / 3600)</f>
        <v>17.272416666666665</v>
      </c>
      <c r="M12" s="98">
        <f>(3 / 60) + (34.03 / 3600)</f>
        <v>5.9452777777777785E-2</v>
      </c>
      <c r="N12" s="98">
        <f xml:space="preserve"> 22 + (54 / 60) + (9.4 / 3600)</f>
        <v>22.90261111111111</v>
      </c>
      <c r="O12" s="98">
        <f>(0 / 60) + (54.2 / 3600)</f>
        <v>1.5055555555555556E-2</v>
      </c>
    </row>
    <row r="13" spans="3:15" x14ac:dyDescent="0.35">
      <c r="C13" s="97">
        <v>9</v>
      </c>
      <c r="D13" s="98">
        <f xml:space="preserve"> -22 + (8 / 60) + (37.36 / 3600)</f>
        <v>-21.856288888888891</v>
      </c>
      <c r="E13" s="98">
        <f>(-6 / 60) + (51.53 / 3600)</f>
        <v>-8.5686111111111116E-2</v>
      </c>
      <c r="F13" s="98">
        <f xml:space="preserve"> -14 + (46 / 60) + (17.54 / 3600)</f>
        <v>-13.228461111111111</v>
      </c>
      <c r="G13" s="98">
        <f>(-14 / 60) + (9.03 / 3600)</f>
        <v>-0.230825</v>
      </c>
      <c r="H13" s="98">
        <f xml:space="preserve"> -4 + (13 / 60) + (42.02 / 3600)</f>
        <v>-3.7716611111111109</v>
      </c>
      <c r="I13" s="98">
        <f xml:space="preserve"> (-10 / 60) + (23.41 / 3600)</f>
        <v>-0.16016388888888888</v>
      </c>
      <c r="J13" s="98">
        <f xml:space="preserve"> 7 + (49 / 60) + (50.89 / 3600)</f>
        <v>7.8308027777777776</v>
      </c>
      <c r="K13" s="98">
        <f>(-1 / 60) + ( 26.17 / 3600)</f>
        <v>-9.3972222222222217E-3</v>
      </c>
      <c r="L13" s="98">
        <f xml:space="preserve"> 17 + (32 / 60) + (16.91 / 3600)</f>
        <v>17.538030555555558</v>
      </c>
      <c r="M13" s="98">
        <f>(3 / 60) + (36.74 / 3600)</f>
        <v>6.0205555555555561E-2</v>
      </c>
      <c r="N13" s="98">
        <f xml:space="preserve"> 22 + (59 / 60) + (4.15 / 3600)</f>
        <v>22.984486111111114</v>
      </c>
      <c r="O13" s="98">
        <f>(0 / 60) + (42.44 / 3600)</f>
        <v>1.1788888888888889E-2</v>
      </c>
    </row>
    <row r="14" spans="3:15" x14ac:dyDescent="0.35">
      <c r="C14" s="97">
        <v>10</v>
      </c>
      <c r="D14" s="98">
        <f xml:space="preserve"> -22 + (0 / 60) + (1.48 / 3600)</f>
        <v>-21.999588888888891</v>
      </c>
      <c r="E14" s="98">
        <f>(-7 / 60) + (16.29 / 3600)</f>
        <v>-0.11214166666666667</v>
      </c>
      <c r="F14" s="98">
        <f xml:space="preserve"> -14 + (26 / 60) + (59.35 / 3600)</f>
        <v>-13.550180555555555</v>
      </c>
      <c r="G14" s="98">
        <f>(-14 / 60) + (10.55 / 3600)</f>
        <v>-0.23040277777777779</v>
      </c>
      <c r="H14" s="98">
        <f xml:space="preserve"> -3 + (50 / 60) + (10.43 / 3600)</f>
        <v>-2.1637694444444442</v>
      </c>
      <c r="I14" s="98">
        <f xml:space="preserve"> (-10 / 60) + (7.96 / 3600)</f>
        <v>-0.16445555555555555</v>
      </c>
      <c r="J14" s="98">
        <f xml:space="preserve"> 8 + (12 / 60) + (0.46 / 3600)</f>
        <v>8.2001277777777766</v>
      </c>
      <c r="K14" s="98">
        <f>(-1 / 60) + (10.1 / 3600)</f>
        <v>-1.3861111111111111E-2</v>
      </c>
      <c r="L14" s="98">
        <f xml:space="preserve"> 17 + (47 / 60) + (55.51 / 3600)</f>
        <v>17.798752777777779</v>
      </c>
      <c r="M14" s="98">
        <f>(3 / 60) + (38.88 / 3600)</f>
        <v>6.0800000000000007E-2</v>
      </c>
      <c r="N14" s="98">
        <f xml:space="preserve"> 23 + (3 / 60) + (34.64 / 3600)</f>
        <v>23.059622222222224</v>
      </c>
      <c r="O14" s="98">
        <f>(0 / 60) + (30.45 / 3600)</f>
        <v>8.4583333333333333E-3</v>
      </c>
    </row>
    <row r="15" spans="3:15" x14ac:dyDescent="0.35">
      <c r="C15" s="97">
        <v>11</v>
      </c>
      <c r="D15" s="98">
        <f xml:space="preserve"> -21 + (50 / 60) + (59.82 / 3600)</f>
        <v>-20.15005</v>
      </c>
      <c r="E15" s="98">
        <f>(-7 / 60) + (40.49 / 3600)</f>
        <v>-0.10541944444444444</v>
      </c>
      <c r="F15" s="98">
        <f xml:space="preserve"> -14 + (7 / 60) + (26.68 / 3600)</f>
        <v>-13.875922222222222</v>
      </c>
      <c r="G15" s="98">
        <f>(-14 / 60) + (11.3 / 3600)</f>
        <v>-0.23019444444444445</v>
      </c>
      <c r="H15" s="98">
        <f xml:space="preserve"> -3 + (26 / 60) + (36.04 / 3600)</f>
        <v>-2.5566555555555555</v>
      </c>
      <c r="I15" s="98">
        <f xml:space="preserve"> (-9 / 60) + (52.19 / 3600)</f>
        <v>-0.13550277777777778</v>
      </c>
      <c r="J15" s="98">
        <f xml:space="preserve"> 8 + (34 / 60) + (1.77 / 3600)</f>
        <v>8.5671583333333334</v>
      </c>
      <c r="K15" s="99">
        <f>(0 / 60) + (54.31 / 3600)</f>
        <v>1.5086111111111111E-2</v>
      </c>
      <c r="L15" s="98">
        <f xml:space="preserve"> 18 + (3 / 60) + (16.19 / 3600)</f>
        <v>18.054497222222224</v>
      </c>
      <c r="M15" s="98">
        <f>(3 / 60) + (40.44 / 3600)</f>
        <v>6.1233333333333334E-2</v>
      </c>
      <c r="N15" s="98">
        <f xml:space="preserve"> 23 + (7 / 60) + (40.77 / 3600)</f>
        <v>23.127991666666667</v>
      </c>
      <c r="O15" s="98">
        <f>(0 / 60) + (18.24 / 3600)</f>
        <v>5.0666666666666664E-3</v>
      </c>
    </row>
    <row r="16" spans="3:15" x14ac:dyDescent="0.35">
      <c r="C16" s="97">
        <v>12</v>
      </c>
      <c r="D16" s="98">
        <f xml:space="preserve"> -21 + (41 / 60) + (32.63 / 3600)</f>
        <v>-20.307602777777777</v>
      </c>
      <c r="E16" s="98">
        <f>(-8 / 60) + (4.11 / 3600)</f>
        <v>-0.13219166666666665</v>
      </c>
      <c r="F16" s="98">
        <f xml:space="preserve"> -13 + (47 / 60) + (39.96 / 3600)</f>
        <v>-12.205566666666666</v>
      </c>
      <c r="G16" s="98">
        <f>(-14 / 60) + (11.28 / 3600)</f>
        <v>-0.23020000000000002</v>
      </c>
      <c r="H16" s="98">
        <f xml:space="preserve"> -3 + (2 / 60) + (59.23 / 3600)</f>
        <v>-2.9502138888888889</v>
      </c>
      <c r="I16" s="98">
        <f xml:space="preserve"> (-9 / 60) + (36.12 / 3600)</f>
        <v>-0.13996666666666666</v>
      </c>
      <c r="J16" s="98">
        <f xml:space="preserve"> 8 + (55 / 60) + (54.49 / 3600)</f>
        <v>8.9318027777777775</v>
      </c>
      <c r="K16" s="99">
        <f>(0 / 60) + (38.83 / 3600)</f>
        <v>1.0786111111111111E-2</v>
      </c>
      <c r="L16" s="98">
        <f xml:space="preserve"> 18 + (18 / 60) + (18.67 / 3600)</f>
        <v>18.305186111111112</v>
      </c>
      <c r="M16" s="98">
        <f>(3 / 60) + (41.43 / 3600)</f>
        <v>6.1508333333333338E-2</v>
      </c>
      <c r="N16" s="98">
        <f xml:space="preserve"> 23 + (11 / 60) + (22.44 / 3600)</f>
        <v>23.189566666666668</v>
      </c>
      <c r="O16" s="98">
        <f>( 0/ 60) + (5.85 / 3600)</f>
        <v>1.6249999999999999E-3</v>
      </c>
    </row>
    <row r="17" spans="3:15" x14ac:dyDescent="0.35">
      <c r="C17" s="97">
        <v>13</v>
      </c>
      <c r="D17" s="98">
        <f xml:space="preserve"> -21 + (31 / 60) + (40.2 / 3600)</f>
        <v>-20.472166666666666</v>
      </c>
      <c r="E17" s="98">
        <f>(-8 / 60) + (27.13 / 3600)</f>
        <v>-0.12579722222222223</v>
      </c>
      <c r="F17" s="98">
        <f xml:space="preserve"> -13 + (27 / 60) + (39.6 / 3600)</f>
        <v>-12.539000000000001</v>
      </c>
      <c r="G17" s="98">
        <f>(-14 / 60) + (10.5 / 3600)</f>
        <v>-0.23041666666666666</v>
      </c>
      <c r="H17" s="98">
        <f xml:space="preserve"> -2 + (39 / 60) + (20.38 / 3600)</f>
        <v>-1.344338888888889</v>
      </c>
      <c r="I17" s="98">
        <f xml:space="preserve"> (-9 / 60) + (19.77 / 3600)</f>
        <v>-0.14450833333333332</v>
      </c>
      <c r="J17" s="98">
        <f xml:space="preserve"> 9 + (17 / 60) + (38.28 / 3600)</f>
        <v>9.293966666666666</v>
      </c>
      <c r="K17" s="99">
        <f>(0 / 60) + (23.65 / 3600)</f>
        <v>6.5694444444444437E-3</v>
      </c>
      <c r="L17" s="98">
        <f xml:space="preserve"> 18 + (33 / 60) + (2.66 / 3600)</f>
        <v>18.55073888888889</v>
      </c>
      <c r="M17" s="98">
        <f>(3 / 60) + (41.85 / 3600)</f>
        <v>6.1624999999999999E-2</v>
      </c>
      <c r="N17" s="98">
        <f xml:space="preserve"> 23 + (14 / 60) + (39.59 / 3600)</f>
        <v>23.244330555555557</v>
      </c>
      <c r="O17" s="99">
        <f xml:space="preserve"> - (0 / 60) + (6.71 / 3600)</f>
        <v>1.8638888888888889E-3</v>
      </c>
    </row>
    <row r="18" spans="3:15" x14ac:dyDescent="0.35">
      <c r="C18" s="97">
        <v>14</v>
      </c>
      <c r="D18" s="98">
        <f xml:space="preserve"> -21 + (21 / 60) + (22.8 / 3600)</f>
        <v>-20.643666666666665</v>
      </c>
      <c r="E18" s="98">
        <f>(-8 / 60) + (49.52 / 3600)</f>
        <v>-0.11957777777777778</v>
      </c>
      <c r="F18" s="98">
        <f xml:space="preserve"> -13 + (7 / 60) + (26.02 / 3600)</f>
        <v>-12.876105555555554</v>
      </c>
      <c r="G18" s="98">
        <f>(-14 / 60) + (8.97 / 3600)</f>
        <v>-0.23084166666666667</v>
      </c>
      <c r="H18" s="98">
        <f xml:space="preserve"> -2 + (15 / 60) + (39.85 / 3600)</f>
        <v>-1.7389305555555556</v>
      </c>
      <c r="I18" s="98">
        <f xml:space="preserve"> (-9 / 60) + (3.16 / 3600)</f>
        <v>-0.14912222222222221</v>
      </c>
      <c r="J18" s="98">
        <f xml:space="preserve"> 9 + (39 / 60) + (12.81 / 3600)</f>
        <v>9.6535583333333346</v>
      </c>
      <c r="K18" s="99">
        <f>(0 / 60) + (8.81 / 3600)</f>
        <v>2.4472222222222222E-3</v>
      </c>
      <c r="L18" s="98">
        <f xml:space="preserve"> 18 + (47 / 60) + (27.88 / 3600)</f>
        <v>18.79107777777778</v>
      </c>
      <c r="M18" s="98">
        <f>(3 / 60) + (41.7 / 3600)</f>
        <v>6.1583333333333337E-2</v>
      </c>
      <c r="N18" s="98">
        <f xml:space="preserve"> 23 + (17 / 60) + (32.14 / 3600)</f>
        <v>23.292261111111113</v>
      </c>
      <c r="O18" s="99">
        <f xml:space="preserve"> - (0 / 60) + (19.41 / 3600)</f>
        <v>5.391666666666667E-3</v>
      </c>
    </row>
    <row r="19" spans="3:15" x14ac:dyDescent="0.35">
      <c r="C19" s="97">
        <v>15</v>
      </c>
      <c r="D19" s="98">
        <f xml:space="preserve"> -21 + (10 / 60) + (40.72 / 3600)</f>
        <v>-20.82202222222222</v>
      </c>
      <c r="E19" s="98">
        <f>(-9 / 60) + (11.27 / 3600)</f>
        <v>-0.14686944444444444</v>
      </c>
      <c r="F19" s="98">
        <f xml:space="preserve"> -12 + (46 / 60) + (59.64 / 3600)</f>
        <v>-11.216766666666667</v>
      </c>
      <c r="G19" s="98">
        <f>(-14 / 60) + (6.7 / 3600)</f>
        <v>-0.23147222222222222</v>
      </c>
      <c r="H19" s="98">
        <f xml:space="preserve"> -1 + (51 / 60) + (58.02 / 3600)</f>
        <v>-0.13388333333333335</v>
      </c>
      <c r="I19" s="98">
        <f xml:space="preserve"> (-8 / 60) + (46.31 / 3600)</f>
        <v>-0.12046944444444443</v>
      </c>
      <c r="J19" s="98">
        <f xml:space="preserve"> 10 + (0 / 60) + (37.73 / 3600)</f>
        <v>10.010480555555555</v>
      </c>
      <c r="K19" s="98">
        <f>(0 / 60) + (5.68 / 3600)</f>
        <v>1.5777777777777778E-3</v>
      </c>
      <c r="L19" s="98">
        <f xml:space="preserve"> 19 + (1 / 60) + (34.06 / 3600)</f>
        <v>19.026127777777777</v>
      </c>
      <c r="M19" s="98">
        <f>(3 / 60) + (40.98 / 3600)</f>
        <v>6.1383333333333331E-2</v>
      </c>
      <c r="N19" s="98">
        <f xml:space="preserve"> 23 + (20 / 60) + (0.03 / 3600)</f>
        <v>23.333341666666666</v>
      </c>
      <c r="O19" s="99">
        <f xml:space="preserve"> - (0 / 60) + (32.23 / 3600)</f>
        <v>8.9527777777777765E-3</v>
      </c>
    </row>
    <row r="20" spans="3:15" x14ac:dyDescent="0.35">
      <c r="C20" s="97">
        <v>16</v>
      </c>
      <c r="D20" s="98">
        <f xml:space="preserve"> -20 + (59 / 60) + (34.26 / 3600)</f>
        <v>-19.007149999999999</v>
      </c>
      <c r="E20" s="98">
        <f>(-9 / 60) + (32.35 / 3600)</f>
        <v>-0.14101388888888888</v>
      </c>
      <c r="F20" s="98">
        <f xml:space="preserve"> -12 + (26 / 60) + (20.86 / 3600)</f>
        <v>-11.560872222222223</v>
      </c>
      <c r="G20" s="98">
        <f>(-14 / 60) + (3.7 / 3600)</f>
        <v>-0.23230555555555557</v>
      </c>
      <c r="H20" s="98">
        <f xml:space="preserve"> -1 + (28 / 60) + (15.26 / 3600)</f>
        <v>-0.52909444444444442</v>
      </c>
      <c r="I20" s="98">
        <f xml:space="preserve"> (-8 / 60) + (29.24 / 3600)</f>
        <v>-0.12521111111111111</v>
      </c>
      <c r="J20" s="98">
        <f xml:space="preserve"> 10 + (21 / 60) + (52.72 / 3600)</f>
        <v>10.364644444444444</v>
      </c>
      <c r="K20" s="98">
        <f>(0 / 60) + (19.81 / 3600)</f>
        <v>5.5027777777777774E-3</v>
      </c>
      <c r="L20" s="98">
        <f xml:space="preserve"> 19 + (15 / 60) + (20.9 / 3600)</f>
        <v>19.255805555555554</v>
      </c>
      <c r="M20" s="98">
        <f>(3 / 60) + (39.7 / 3600)</f>
        <v>6.1027777777777778E-2</v>
      </c>
      <c r="N20" s="98">
        <f xml:space="preserve"> 23 + (22 / 60) + (3.22 / 3600)</f>
        <v>23.367561111111112</v>
      </c>
      <c r="O20" s="99">
        <f xml:space="preserve"> - (0 / 60) + (45.14 / 3600)</f>
        <v>1.2538888888888889E-2</v>
      </c>
    </row>
    <row r="21" spans="3:15" x14ac:dyDescent="0.35">
      <c r="C21" s="97">
        <v>17</v>
      </c>
      <c r="D21" s="98">
        <f xml:space="preserve"> -20 + (48 / 60) + (3.74 / 3600)</f>
        <v>-19.19896111111111</v>
      </c>
      <c r="E21" s="98">
        <f>(-9 / 60) + (52.75 / 3600)</f>
        <v>-0.13534722222222223</v>
      </c>
      <c r="F21" s="98">
        <f xml:space="preserve"> -12 + (5 / 60) + (30.11 / 3600)</f>
        <v>-11.908302777777777</v>
      </c>
      <c r="G21" s="98">
        <f>(-13 / 60) + (59.99 / 3600)</f>
        <v>-0.20000277777777778</v>
      </c>
      <c r="H21" s="98">
        <f xml:space="preserve"> -1 + (4 / 60) + (31.95 / 3600)</f>
        <v>-0.92445833333333338</v>
      </c>
      <c r="I21" s="98">
        <f xml:space="preserve"> (-8 / 60) + (11.97 / 3600)</f>
        <v>-0.13000833333333334</v>
      </c>
      <c r="J21" s="98">
        <f xml:space="preserve"> 10 + (42 / 60) + (57.43 / 3600)</f>
        <v>10.715952777777778</v>
      </c>
      <c r="K21" s="98">
        <f>(0 / 60) + (33.56 / 3600)</f>
        <v>9.3222222222222231E-3</v>
      </c>
      <c r="L21" s="98">
        <f xml:space="preserve"> 19 + (28 / 60) + (48.15 / 3600)</f>
        <v>19.480041666666665</v>
      </c>
      <c r="M21" s="98">
        <f>(3 / 60) + (37.86 / 3600)</f>
        <v>6.051666666666667E-2</v>
      </c>
      <c r="N21" s="98">
        <f xml:space="preserve"> 23 + (23 / 60) + (41.67 / 3600)</f>
        <v>23.394908333333333</v>
      </c>
      <c r="O21" s="99">
        <f xml:space="preserve"> - (0 / 60) + (58.13 / 3600)</f>
        <v>1.6147222222222223E-2</v>
      </c>
    </row>
    <row r="22" spans="3:15" x14ac:dyDescent="0.35">
      <c r="C22" s="97">
        <v>18</v>
      </c>
      <c r="D22" s="98">
        <f xml:space="preserve"> -20 + (36 / 60) + (9.46 / 3600)</f>
        <v>-19.39737222222222</v>
      </c>
      <c r="E22" s="98">
        <f>(-10 / 60) + (12.45 / 3600)</f>
        <v>-0.16320833333333332</v>
      </c>
      <c r="F22" s="98">
        <f xml:space="preserve"> -11 + (44 / 60) + (27.8 / 3600)</f>
        <v>-10.258944444444445</v>
      </c>
      <c r="G22" s="98">
        <f>(-13 / 60) + (55.57 / 3600)</f>
        <v>-0.20123055555555555</v>
      </c>
      <c r="H22" s="99">
        <f xml:space="preserve"> - + (40 / 60) + (48.44 / 3600)</f>
        <v>-0.65321111111111108</v>
      </c>
      <c r="I22" s="98">
        <f xml:space="preserve"> (-7 / 60) + (54.52 / 3600)</f>
        <v>-0.10152222222222222</v>
      </c>
      <c r="J22" s="98">
        <f xml:space="preserve"> 11 + (3 / 60) + (51.53 / 3600)</f>
        <v>11.06431388888889</v>
      </c>
      <c r="K22" s="98">
        <f>(0 / 60) + (46.92 / 3600)</f>
        <v>1.3033333333333334E-2</v>
      </c>
      <c r="L22" s="98">
        <f xml:space="preserve"> 19 + (41 / 60) + (55.54 / 3600)</f>
        <v>19.698761111111111</v>
      </c>
      <c r="M22" s="98">
        <f>(3 / 60) + (35.46 / 3600)</f>
        <v>5.985E-2</v>
      </c>
      <c r="N22" s="98">
        <f xml:space="preserve"> 23 + (24 / 60) + (55.34 / 3600)</f>
        <v>23.415372222222221</v>
      </c>
      <c r="O22" s="98">
        <f xml:space="preserve"> - (1 / 60) + (11.17 / 3600)</f>
        <v>-1.3563888888888889E-2</v>
      </c>
    </row>
    <row r="23" spans="3:15" x14ac:dyDescent="0.35">
      <c r="C23" s="97">
        <v>19</v>
      </c>
      <c r="D23" s="98">
        <f xml:space="preserve"> -20 + (23 / 60) + (51.77 / 3600)</f>
        <v>-19.602286111111113</v>
      </c>
      <c r="E23" s="98">
        <f>(-10 / 60) + (31.43 / 3600)</f>
        <v>-0.15793611111111111</v>
      </c>
      <c r="F23" s="98">
        <f xml:space="preserve"> -11 + (23 / 60) + (14.35 / 3600)</f>
        <v>-10.612680555555556</v>
      </c>
      <c r="G23" s="98">
        <f>(-13 / 60) + (50.46 / 3600)</f>
        <v>-0.20265</v>
      </c>
      <c r="H23" s="99">
        <f xml:space="preserve"> - + (17 / 60) + (5.11 / 3600)</f>
        <v>-0.28191388888888891</v>
      </c>
      <c r="I23" s="98">
        <f xml:space="preserve"> (-7 / 60) + (36.91 / 3600)</f>
        <v>-0.10641388888888889</v>
      </c>
      <c r="J23" s="98">
        <f xml:space="preserve"> 11 + (24 / 60) + (34.69 / 3600)</f>
        <v>11.409636111111112</v>
      </c>
      <c r="K23" s="98">
        <f>(0 / 60) + (59.88 / 3600)</f>
        <v>1.6633333333333333E-2</v>
      </c>
      <c r="L23" s="98">
        <f xml:space="preserve"> 19 + (54 / 60) + (42.8 / 3600)</f>
        <v>19.911888888888889</v>
      </c>
      <c r="M23" s="98">
        <f>(3 / 60) + (32.52 / 3600)</f>
        <v>5.903333333333334E-2</v>
      </c>
      <c r="N23" s="98">
        <f xml:space="preserve"> 23 + (25 / 60) + (44.23 / 3600)</f>
        <v>23.428952777777781</v>
      </c>
      <c r="O23" s="98">
        <f xml:space="preserve"> - (1 / 60) + (24.24 / 3600)</f>
        <v>-9.9333333333333339E-3</v>
      </c>
    </row>
    <row r="24" spans="3:15" x14ac:dyDescent="0.35">
      <c r="C24" s="97">
        <v>20</v>
      </c>
      <c r="D24" s="98">
        <f xml:space="preserve"> -20 + (11 / 60) + (11 /3600)</f>
        <v>-19.813611111111111</v>
      </c>
      <c r="E24" s="98">
        <f>(-10 / 60) + (49.69 / 3600)</f>
        <v>-0.15286388888888888</v>
      </c>
      <c r="F24" s="98">
        <f xml:space="preserve"> -11 + (1 / 60) + (50.16 / 3600)</f>
        <v>-10.969399999999998</v>
      </c>
      <c r="G24" s="98">
        <f>(-13 / 60) + (44.68 / 3600)</f>
        <v>-0.20425555555555555</v>
      </c>
      <c r="H24" s="98">
        <f xml:space="preserve"> 0 + (6 / 60) + (37.69 / 3600)</f>
        <v>0.11046944444444445</v>
      </c>
      <c r="I24" s="98">
        <f xml:space="preserve"> (-7 / 60) + (19.17 / 3600)</f>
        <v>-0.11134166666666667</v>
      </c>
      <c r="J24" s="98">
        <f xml:space="preserve"> 11 + (45 / 60) + (6.58 / 3600)</f>
        <v>11.751827777777779</v>
      </c>
      <c r="K24" s="98">
        <f>(1 / 60) + (12.41 / 3600)</f>
        <v>2.0113888888888889E-2</v>
      </c>
      <c r="L24" s="98">
        <f xml:space="preserve"> 20 + (7 / 60) + (9.68 / 3600)</f>
        <v>20.119355555555558</v>
      </c>
      <c r="M24" s="98">
        <f>(3 / 60) + (29.03 / 3600)</f>
        <v>5.8063888888888894E-2</v>
      </c>
      <c r="N24" s="98">
        <f xml:space="preserve"> 23 + (26 / 60) + (8.3 / 3600)</f>
        <v>23.435638888888889</v>
      </c>
      <c r="O24" s="98">
        <f xml:space="preserve"> - (1 / 60) + (37.31 / 3600)</f>
        <v>-6.3027777777777769E-3</v>
      </c>
    </row>
    <row r="25" spans="3:15" x14ac:dyDescent="0.35">
      <c r="C25" s="97">
        <v>21</v>
      </c>
      <c r="D25" s="98">
        <f xml:space="preserve"> -19 + (58 / 60) + (7.48 / 3600)</f>
        <v>-18.031255555555557</v>
      </c>
      <c r="E25" s="98">
        <f>(-11 / 60) + (7.2 / 3600)</f>
        <v>-0.18133333333333332</v>
      </c>
      <c r="F25" s="98">
        <f xml:space="preserve"> -10 + (40 / 60) + (15.66 / 3600)</f>
        <v>-9.3289833333333334</v>
      </c>
      <c r="G25" s="98">
        <f>(-13 / 60) + (38.24 / 3600)</f>
        <v>-0.20604444444444445</v>
      </c>
      <c r="H25" s="98">
        <f xml:space="preserve"> 0 + (30 / 60) + (19.58 / 3600)</f>
        <v>0.50543888888888888</v>
      </c>
      <c r="I25" s="98">
        <f xml:space="preserve"> (-7 / 60) + (1.3 / 3600)</f>
        <v>-0.11630555555555555</v>
      </c>
      <c r="J25" s="98">
        <f xml:space="preserve"> 12 + (5 / 60) + (26.86 / 3600)</f>
        <v>12.090794444444445</v>
      </c>
      <c r="K25" s="98">
        <f>(1 / 60) + (24.52 / 3600)</f>
        <v>2.3477777777777778E-2</v>
      </c>
      <c r="L25" s="98">
        <f xml:space="preserve"> 20 + (19 / 60) + (15.93 / 3600)</f>
        <v>20.321091666666668</v>
      </c>
      <c r="M25" s="98">
        <f>(3 / 60) + (25.01 / 3600)</f>
        <v>5.6947222222222225E-2</v>
      </c>
      <c r="N25" s="98">
        <f xml:space="preserve"> 23 + (26 / 60) + (7.58 / 3600)</f>
        <v>23.435438888888889</v>
      </c>
      <c r="O25" s="98">
        <f xml:space="preserve"> - (1 / 60) + (50.36 / 3600)</f>
        <v>-2.6777777777777772E-3</v>
      </c>
    </row>
    <row r="26" spans="3:15" x14ac:dyDescent="0.35">
      <c r="C26" s="97">
        <v>22</v>
      </c>
      <c r="D26" s="98">
        <f xml:space="preserve"> -19 + (44 / 60) + (41.57 / 3600)</f>
        <v>-18.255119444444443</v>
      </c>
      <c r="E26" s="98">
        <f>(-11 / 60) + (23.96 / 3600)</f>
        <v>-0.17667777777777777</v>
      </c>
      <c r="F26" s="98">
        <f xml:space="preserve"> -10 + (18 / 60) + (31.24 / 3600)</f>
        <v>-9.6913222222222224</v>
      </c>
      <c r="G26" s="98">
        <f>(-13 / 60) + (31.15 / 3600)</f>
        <v>-0.20801388888888889</v>
      </c>
      <c r="H26" s="98">
        <f xml:space="preserve"> 0 + (54 / 60) + (0.21 / 3600)</f>
        <v>0.9000583333333334</v>
      </c>
      <c r="I26" s="98">
        <f xml:space="preserve"> (-6 / 60) + (43.34 / 3600)</f>
        <v>-8.7961111111111115E-2</v>
      </c>
      <c r="J26" s="98">
        <f xml:space="preserve"> 12 + (25 / 60) + (35.2 / 3600)</f>
        <v>12.426444444444444</v>
      </c>
      <c r="K26" s="98">
        <f>(1 / 60) + (36.18 / 3600)</f>
        <v>2.6716666666666666E-2</v>
      </c>
      <c r="L26" s="98">
        <f xml:space="preserve"> 20 + (31 / 60) + (1.29 / 3600)</f>
        <v>20.517025</v>
      </c>
      <c r="M26" s="98">
        <f>(3 / 60) + (20.46 / 3600)</f>
        <v>5.5683333333333335E-2</v>
      </c>
      <c r="N26" s="98">
        <f xml:space="preserve"> 23 + (25 / 60) + (42.06 / 3600)</f>
        <v>23.428350000000002</v>
      </c>
      <c r="O26" s="98">
        <f xml:space="preserve"> - (2 / 60) + (3.36 / 3600)</f>
        <v>-3.2399999999999998E-2</v>
      </c>
    </row>
    <row r="27" spans="3:15" x14ac:dyDescent="0.35">
      <c r="C27" s="97">
        <v>23</v>
      </c>
      <c r="D27" s="98">
        <f xml:space="preserve"> -19 + (30 / 60) + (53.62 / 3600)</f>
        <v>-18.485105555555556</v>
      </c>
      <c r="E27" s="98">
        <f>(-11 / 60) + (39.95 / 3600)</f>
        <v>-0.17223611111111109</v>
      </c>
      <c r="F27" s="98">
        <f xml:space="preserve"> -9 + (56 / 60) + (37.33 / 3600)</f>
        <v>-8.0562972222222218</v>
      </c>
      <c r="G27" s="98">
        <f>(-13 / 60) + (23.43 / 3600)</f>
        <v>-0.21015833333333334</v>
      </c>
      <c r="H27" s="98">
        <f xml:space="preserve"> 1 + (17 / 60) + (39.22 / 3600)</f>
        <v>1.2942277777777778</v>
      </c>
      <c r="I27" s="98">
        <f xml:space="preserve"> (-6 / 60) + (25.31 / 3600)</f>
        <v>-9.2969444444444452E-2</v>
      </c>
      <c r="J27" s="98">
        <f xml:space="preserve"> 12 + (45 / 60) + (31.28 / 3600)</f>
        <v>12.758688888888889</v>
      </c>
      <c r="K27" s="98">
        <f>(1 / 60) + (47.38 / 3600)</f>
        <v>2.9827777777777779E-2</v>
      </c>
      <c r="L27" s="98">
        <f xml:space="preserve"> 20 + (42 / 60) + (25.54 / 3600)</f>
        <v>20.707094444444444</v>
      </c>
      <c r="M27" s="98">
        <f>(3 / 60) + (15.39 / 3600)</f>
        <v>5.4275000000000004E-2</v>
      </c>
      <c r="N27" s="98">
        <f xml:space="preserve"> 23 + (24 / 60) + (51.77 / 3600)</f>
        <v>23.414380555555553</v>
      </c>
      <c r="O27" s="98">
        <f xml:space="preserve"> - (2 / 60) + (16.3 / 3600)</f>
        <v>-2.8805555555555556E-2</v>
      </c>
    </row>
    <row r="28" spans="3:15" x14ac:dyDescent="0.35">
      <c r="C28" s="97">
        <v>24</v>
      </c>
      <c r="D28" s="98">
        <f xml:space="preserve"> -19 + (16 / 60) + (44.01 / 3600)</f>
        <v>-18.721108333333333</v>
      </c>
      <c r="E28" s="98">
        <f>(-11 / 60) + (55.16 / 3600)</f>
        <v>-0.16801111111111111</v>
      </c>
      <c r="F28" s="98">
        <f xml:space="preserve"> -9 + (34 / 60) + (34.32 / 3600)</f>
        <v>-8.4238</v>
      </c>
      <c r="G28" s="98">
        <f>(-13 / 60) + (15.1 / 3600)</f>
        <v>-0.21247222222222223</v>
      </c>
      <c r="H28" s="98">
        <f xml:space="preserve"> 1 + (41 / 60) + (16.24 / 3600)</f>
        <v>1.6878444444444445</v>
      </c>
      <c r="I28" s="98">
        <f xml:space="preserve"> (-6 / 60) + (7.21 / 3600)</f>
        <v>-9.7997222222222222E-2</v>
      </c>
      <c r="J28" s="98">
        <f xml:space="preserve"> 13 + (5 / 60) + (14.76 / 3600)</f>
        <v>13.087433333333333</v>
      </c>
      <c r="K28" s="98">
        <f>(1 / 60) + (58.11 / 3600)</f>
        <v>3.2808333333333328E-2</v>
      </c>
      <c r="L28" s="98">
        <f xml:space="preserve"> 20 + (53 / 60) + (28.43 / 3600)</f>
        <v>20.891230555555556</v>
      </c>
      <c r="M28" s="98">
        <f>(3 / 60) + (9.82 / 3600)</f>
        <v>5.2727777777777783E-2</v>
      </c>
      <c r="N28" s="98">
        <f xml:space="preserve"> 23 + (23 / 60) + (36.74 / 3600)</f>
        <v>23.393538888888887</v>
      </c>
      <c r="O28" s="98">
        <f xml:space="preserve"> - (2 / 60) + (29.14 / 3600)</f>
        <v>-2.5238888888888887E-2</v>
      </c>
    </row>
    <row r="29" spans="3:15" x14ac:dyDescent="0.35">
      <c r="C29" s="97">
        <v>25</v>
      </c>
      <c r="D29" s="98">
        <f xml:space="preserve"> -19 + (2 / 60) + (13.09 / 3600)</f>
        <v>-18.963030555555555</v>
      </c>
      <c r="E29" s="98">
        <f>(-12 / 60) + (9.59 / 3600)</f>
        <v>-0.19733611111111113</v>
      </c>
      <c r="F29" s="98">
        <f xml:space="preserve"> -9 + (12 / 60) + (22.63 / 3600)</f>
        <v>-8.7937138888888899</v>
      </c>
      <c r="G29" s="98">
        <f>(-13 / 60) + (6.16 / 3600)</f>
        <v>-0.21495555555555557</v>
      </c>
      <c r="H29" s="98">
        <f xml:space="preserve"> 2 + (4 / 60) + (50.92 / 3600)</f>
        <v>2.0808111111111112</v>
      </c>
      <c r="I29" s="98">
        <f xml:space="preserve"> (-5 / 60) + (49.09 / 3600)</f>
        <v>-6.9697222222222216E-2</v>
      </c>
      <c r="J29" s="98">
        <f xml:space="preserve"> 13 + (24 / 60) + (45.32 / 3600)</f>
        <v>13.412588888888889</v>
      </c>
      <c r="K29" s="98">
        <f>(2 / 60) + (8.36 / 3600)</f>
        <v>3.5655555555555551E-2</v>
      </c>
      <c r="L29" s="98">
        <f xml:space="preserve"> 21 + (4 / 60) + (9.74 / 3600)</f>
        <v>21.069372222222221</v>
      </c>
      <c r="M29" s="98">
        <f>(3 / 60) + (3.74 / 3600)</f>
        <v>5.1038888888888891E-2</v>
      </c>
      <c r="N29" s="98">
        <f xml:space="preserve"> 23 + (21 / 60) + (57 / 3600)</f>
        <v>23.365833333333335</v>
      </c>
      <c r="O29" s="98">
        <f xml:space="preserve"> - (2 / 60) + (41.87 / 3600)</f>
        <v>-2.1702777777777779E-2</v>
      </c>
    </row>
    <row r="30" spans="3:15" x14ac:dyDescent="0.35">
      <c r="C30" s="97">
        <v>26</v>
      </c>
      <c r="D30" s="98">
        <f xml:space="preserve"> -18 + (47 / 60) + (21.24 / 3600)</f>
        <v>-17.210766666666665</v>
      </c>
      <c r="E30" s="98">
        <f>(-12 / 60) + (23.23 / 3600)</f>
        <v>-0.19354722222222223</v>
      </c>
      <c r="F30" s="98">
        <f xml:space="preserve"> -8 + (50 / 60) + (2.65 / 3600)</f>
        <v>-7.1659305555555557</v>
      </c>
      <c r="G30" s="98">
        <f>(-12 / 60) + (56.64 / 3600)</f>
        <v>-0.18426666666666669</v>
      </c>
      <c r="H30" s="98">
        <f xml:space="preserve"> 2 + (28 / 60) + (22.91 / 3600)</f>
        <v>2.4730305555555558</v>
      </c>
      <c r="I30" s="98">
        <f xml:space="preserve"> (-5 / 60) + (30.94 / 3600)</f>
        <v>-7.4738888888888882E-2</v>
      </c>
      <c r="J30" s="98">
        <f xml:space="preserve"> 13 + (44 / 60) + (2.64 / 3600)</f>
        <v>13.734066666666665</v>
      </c>
      <c r="K30" s="98">
        <f>(2 / 60) + (18.13 / 3600)</f>
        <v>3.8369444444444442E-2</v>
      </c>
      <c r="L30" s="98">
        <f xml:space="preserve"> 21 + (14 / 60) + (29.24 / 3600)</f>
        <v>21.241455555555557</v>
      </c>
      <c r="M30" s="98">
        <f>(2 / 60) + (57.18 / 3600)</f>
        <v>4.9216666666666666E-2</v>
      </c>
      <c r="N30" s="98">
        <f xml:space="preserve"> 23 + (19 / 60) + (52.61 / 3600)</f>
        <v>23.331280555555555</v>
      </c>
      <c r="O30" s="98">
        <f xml:space="preserve"> - (2 / 60) + (54.46 / 3600)</f>
        <v>-1.8205555555555555E-2</v>
      </c>
    </row>
    <row r="31" spans="3:15" x14ac:dyDescent="0.35">
      <c r="C31" s="97">
        <v>27</v>
      </c>
      <c r="D31" s="98">
        <f xml:space="preserve"> -18 + (32 / 60) + (8.84 / 3600)</f>
        <v>-17.464211111111108</v>
      </c>
      <c r="E31" s="98">
        <f>(-12 / 60) + (36.06 / 3600)</f>
        <v>-0.18998333333333334</v>
      </c>
      <c r="F31" s="98">
        <f xml:space="preserve"> -8 + (27 / 60) + (34.8 / 3600)</f>
        <v>-7.5403333333333329</v>
      </c>
      <c r="G31" s="98">
        <f>(-12 / 60) + (46.56 / 3600)</f>
        <v>-0.18706666666666669</v>
      </c>
      <c r="H31" s="98">
        <f xml:space="preserve"> 2 + (51 / 60) + (51.84 / 3600)</f>
        <v>2.8644000000000003</v>
      </c>
      <c r="I31" s="98">
        <f xml:space="preserve"> (-5 / 60) + (12.8 / 3600)</f>
        <v>-7.9777777777777767E-2</v>
      </c>
      <c r="J31" s="98">
        <f xml:space="preserve"> 14 + (3 / 60) + (6.38 / 3600)</f>
        <v>14.051772222222223</v>
      </c>
      <c r="K31" s="98">
        <f>(2 / 60) + (27.39 / 3600)</f>
        <v>4.0941666666666668E-2</v>
      </c>
      <c r="L31" s="98">
        <f xml:space="preserve"> 21 + (24 / 60) + (26.71 / 3600)</f>
        <v>21.407419444444443</v>
      </c>
      <c r="M31" s="98">
        <f>(2 / 60) + (50.15 / 3600)</f>
        <v>4.726388888888889E-2</v>
      </c>
      <c r="N31" s="98">
        <f xml:space="preserve"> 23 + (17 / 60) + (23.62 / 3600)</f>
        <v>23.289894444444446</v>
      </c>
      <c r="O31" s="98">
        <f xml:space="preserve"> - (3 / 60) + (6.89 / 3600)</f>
        <v>-4.8086111111111114E-2</v>
      </c>
    </row>
    <row r="32" spans="3:15" x14ac:dyDescent="0.35">
      <c r="C32" s="97">
        <v>28</v>
      </c>
      <c r="D32" s="98">
        <f xml:space="preserve"> -18 + (16 / 60) + (36.27 / 3600)</f>
        <v>-17.723258333333334</v>
      </c>
      <c r="E32" s="98">
        <f>(-12 / 60) + (48.09 / 3600)</f>
        <v>-0.18664166666666668</v>
      </c>
      <c r="F32" s="98">
        <f xml:space="preserve"> -8 + (4 / 60) + (59.47 / 3600)</f>
        <v>-7.916813888888889</v>
      </c>
      <c r="G32" s="98">
        <f>(-12 / 60) + (35.92 / 3600)</f>
        <v>-0.19002222222222223</v>
      </c>
      <c r="H32" s="98">
        <f xml:space="preserve"> 3 + (15 / 60) + (17.37 / 3600)</f>
        <v>3.2548249999999999</v>
      </c>
      <c r="I32" s="98">
        <f xml:space="preserve"> (-4 / 60) + (54.68 / 3600)</f>
        <v>-5.1477777777777775E-2</v>
      </c>
      <c r="J32" s="98">
        <f xml:space="preserve"> 14 + (21 / 60) + (56.23 / 3600)</f>
        <v>14.365619444444444</v>
      </c>
      <c r="K32" s="98">
        <f>(2 / 60) + (36.14 / 3600)</f>
        <v>4.3372222222222222E-2</v>
      </c>
      <c r="L32" s="98">
        <f xml:space="preserve"> 21 + (34 / 60) + (1.76 / 3600)</f>
        <v>21.567155555555555</v>
      </c>
      <c r="M32" s="98">
        <f>(2 / 60) + (42.65 / 3600)</f>
        <v>4.5180555555555557E-2</v>
      </c>
      <c r="N32" s="98">
        <f xml:space="preserve"> 23 + (14 / 60) + (30.1 / 3600)</f>
        <v>23.241694444444445</v>
      </c>
      <c r="O32" s="98">
        <f xml:space="preserve"> - (3 / 60) + (19.13 / 3600)</f>
        <v>-4.4686111111111114E-2</v>
      </c>
    </row>
    <row r="33" spans="3:15" x14ac:dyDescent="0.35">
      <c r="C33" s="97">
        <v>29</v>
      </c>
      <c r="D33" s="98">
        <f xml:space="preserve"> -18 + (0 / 60) + (43.94 / 3600)</f>
        <v>-17.987794444444443</v>
      </c>
      <c r="E33" s="98">
        <f>(-12 / 60) + (59.31 / 3600)</f>
        <v>-0.18352500000000002</v>
      </c>
      <c r="F33" s="98">
        <f xml:space="preserve"> -7 + (42 / 60) + (17.07 / 3600)</f>
        <v>-6.295258333333333</v>
      </c>
      <c r="G33" s="98">
        <f>(-12 / 60) + (24.76 / 3600)</f>
        <v>-0.19312222222222222</v>
      </c>
      <c r="H33" s="98">
        <f xml:space="preserve"> 3 + (38 / 60) + (39.15 / 3600)</f>
        <v>3.6442083333333333</v>
      </c>
      <c r="I33" s="98">
        <f xml:space="preserve"> (-4 / 60) + (36.61 / 3600)</f>
        <v>-5.649722222222222E-2</v>
      </c>
      <c r="J33" s="98">
        <f xml:space="preserve"> 14 + (40 / 60) + (31.86 / 3600)</f>
        <v>14.675516666666667</v>
      </c>
      <c r="K33" s="98">
        <f>(2 / 60) + (44.38 / 3600)</f>
        <v>4.5661111111111111E-2</v>
      </c>
      <c r="L33" s="98">
        <f xml:space="preserve"> 21 + (43 / 60) + (14.76 / 3600)</f>
        <v>21.720766666666666</v>
      </c>
      <c r="M33" s="98">
        <f>(2 / 60) + (34.71 / 3600)</f>
        <v>4.2974999999999999E-2</v>
      </c>
      <c r="N33" s="98">
        <f xml:space="preserve"> 23 + (11 / 60) + (12.13 / 3600)</f>
        <v>23.186702777777779</v>
      </c>
      <c r="O33" s="98">
        <f xml:space="preserve"> - (3 / 60) + (31.17 / 3600)</f>
        <v>-4.1341666666666665E-2</v>
      </c>
    </row>
    <row r="34" spans="3:15" x14ac:dyDescent="0.35">
      <c r="C34" s="97">
        <v>30</v>
      </c>
      <c r="D34" s="98">
        <f xml:space="preserve"> -17 + (44 / 60) + (32.21 / 3600)</f>
        <v>-16.257719444444444</v>
      </c>
      <c r="E34" s="98">
        <f>(-13 / 60) + (9.71 / 3600)</f>
        <v>-0.21396944444444446</v>
      </c>
      <c r="F34" s="98"/>
      <c r="G34" s="98"/>
      <c r="H34" s="98">
        <f xml:space="preserve"> 4 + (1 / 60) + (56.81 / 3600)</f>
        <v>4.0324472222222223</v>
      </c>
      <c r="I34" s="98">
        <f xml:space="preserve"> (-4 / 60) + (18.6 / 3600)</f>
        <v>-6.1499999999999999E-2</v>
      </c>
      <c r="J34" s="98">
        <f xml:space="preserve"> 14 + (58 / 60) + (52.96 / 3600)</f>
        <v>14.981377777777778</v>
      </c>
      <c r="K34" s="98">
        <f>(2 / 60) + (52.09 / 3600)</f>
        <v>4.7802777777777777E-2</v>
      </c>
      <c r="L34" s="98">
        <f xml:space="preserve"> 21 + (52 / 60) + (4.93 / 3600)</f>
        <v>21.868036111111113</v>
      </c>
      <c r="M34" s="98">
        <f>(2 / 60) + (26.34 / 3600)</f>
        <v>4.0649999999999999E-2</v>
      </c>
      <c r="N34" s="98">
        <f xml:space="preserve"> 23 + (7 / 60) + (29.79 / 3600)</f>
        <v>23.124941666666668</v>
      </c>
      <c r="O34" s="98">
        <f xml:space="preserve"> - (3 / 60) + (42.97 / 3600)</f>
        <v>-3.806388888888889E-2</v>
      </c>
    </row>
    <row r="35" spans="3:15" x14ac:dyDescent="0.35">
      <c r="C35" s="97">
        <v>31</v>
      </c>
      <c r="D35" s="98">
        <f xml:space="preserve"> -17 + (28 / 60) + (1.5 / 3600)</f>
        <v>-16.532916666666669</v>
      </c>
      <c r="E35" s="98">
        <f>(-13 / 60) + (19.31 / 3600)</f>
        <v>-0.21130277777777778</v>
      </c>
      <c r="F35" s="98"/>
      <c r="G35" s="98"/>
      <c r="H35" s="98">
        <f xml:space="preserve"> 4 + (25 / 60) + (10.02 / 3600)</f>
        <v>4.4194500000000003</v>
      </c>
      <c r="I35" s="98">
        <f xml:space="preserve"> (-4 / 60) + (0.67 / 3600)</f>
        <v>-6.6480555555555557E-2</v>
      </c>
      <c r="J35" s="98"/>
      <c r="K35" s="98"/>
      <c r="L35" s="98">
        <f xml:space="preserve"> 22 + (0 / 60) + (32.28 / 3600)</f>
        <v>22.008966666666666</v>
      </c>
      <c r="M35" s="98">
        <f>(2 / 60) + (17.54 / 3600)</f>
        <v>3.8205555555555555E-2</v>
      </c>
      <c r="N35" s="98"/>
      <c r="O35" s="98"/>
    </row>
    <row r="38" spans="3:15" x14ac:dyDescent="0.35">
      <c r="C38" s="100" t="s">
        <v>513</v>
      </c>
      <c r="D38" s="96" t="s">
        <v>514</v>
      </c>
      <c r="E38" s="96"/>
      <c r="F38" s="96" t="s">
        <v>515</v>
      </c>
      <c r="G38" s="96"/>
      <c r="H38" s="96" t="s">
        <v>516</v>
      </c>
      <c r="I38" s="96"/>
      <c r="J38" s="96" t="s">
        <v>517</v>
      </c>
      <c r="K38" s="96"/>
      <c r="L38" s="96" t="s">
        <v>518</v>
      </c>
      <c r="M38" s="96"/>
      <c r="N38" s="96" t="s">
        <v>519</v>
      </c>
      <c r="O38" s="101"/>
    </row>
    <row r="39" spans="3:15" x14ac:dyDescent="0.35">
      <c r="C39" s="102"/>
      <c r="D39" s="97" t="s">
        <v>511</v>
      </c>
      <c r="E39" s="97" t="s">
        <v>512</v>
      </c>
      <c r="F39" s="97" t="s">
        <v>511</v>
      </c>
      <c r="G39" s="97" t="s">
        <v>512</v>
      </c>
      <c r="H39" s="97" t="s">
        <v>511</v>
      </c>
      <c r="I39" s="97" t="s">
        <v>512</v>
      </c>
      <c r="J39" s="97" t="s">
        <v>511</v>
      </c>
      <c r="K39" s="97" t="s">
        <v>512</v>
      </c>
      <c r="L39" s="97" t="s">
        <v>511</v>
      </c>
      <c r="M39" s="97" t="s">
        <v>512</v>
      </c>
      <c r="N39" s="97" t="s">
        <v>511</v>
      </c>
      <c r="O39" s="97" t="s">
        <v>512</v>
      </c>
    </row>
    <row r="40" spans="3:15" x14ac:dyDescent="0.35">
      <c r="C40" s="103">
        <v>1</v>
      </c>
      <c r="D40" s="98">
        <f xml:space="preserve"> 23 + (3 / 60) + (23.19 / 3600)</f>
        <v>23.056441666666668</v>
      </c>
      <c r="E40" s="98">
        <f xml:space="preserve"> (-3 / 60) + (54.53 / 3600)</f>
        <v>-3.4852777777777781E-2</v>
      </c>
      <c r="F40" s="98">
        <f xml:space="preserve"> 17 + (50 / 60) + (18.2 / 3600)</f>
        <v>17.838388888888886</v>
      </c>
      <c r="G40" s="98">
        <f xml:space="preserve"> (-6 / 60) + (15.91 / 3600)</f>
        <v>-9.5580555555555557E-2</v>
      </c>
      <c r="H40" s="98">
        <f xml:space="preserve"> 8 + (1 / 60) + (42.66 / 3600)</f>
        <v>8.0285166666666683</v>
      </c>
      <c r="I40" s="98">
        <f xml:space="preserve"> (0 / 60) + (10.82 / 3600)</f>
        <v>3.0055555555555556E-3</v>
      </c>
      <c r="J40" s="98">
        <f xml:space="preserve"> -3 + (27 / 60) + (2.49 / 3600)</f>
        <v>-2.5493083333333333</v>
      </c>
      <c r="K40" s="98">
        <f xml:space="preserve"> (10 / 60) + (31.31 / 3600)</f>
        <v>0.17536388888888887</v>
      </c>
      <c r="L40" s="98">
        <f xml:space="preserve"> -14 + (38 / 60) + (33.48 / 3600)</f>
        <v>-13.357366666666667</v>
      </c>
      <c r="M40" s="98">
        <f xml:space="preserve"> (16 / 60) + (27.83 / 3600)</f>
        <v>0.27439722222222224</v>
      </c>
      <c r="N40" s="98">
        <f xml:space="preserve"> -21 + (54 / 60) + (5.21 / 3600)</f>
        <v>-20.09855277777778</v>
      </c>
      <c r="O40" s="98">
        <f xml:space="preserve"> (10 / 60) + (51.19 / 3600)</f>
        <v>0.18088611111111111</v>
      </c>
    </row>
    <row r="41" spans="3:15" x14ac:dyDescent="0.35">
      <c r="C41" s="103">
        <v>2</v>
      </c>
      <c r="D41" s="98">
        <f xml:space="preserve"> 22 + (58 / 60) + (52.42 / 3600)</f>
        <v>22.981227777777775</v>
      </c>
      <c r="E41" s="98">
        <f xml:space="preserve"> (-4 / 60) + (5.81 / 3600)</f>
        <v>-6.5052777777777779E-2</v>
      </c>
      <c r="F41" s="98">
        <f xml:space="preserve"> 17 + (34 / 60) + (51.67 / 3600)</f>
        <v>17.581019444444443</v>
      </c>
      <c r="G41" s="98">
        <f xml:space="preserve"> (-6 / 60) + (11.55 / 3600)</f>
        <v>-9.6791666666666679E-2</v>
      </c>
      <c r="H41" s="98">
        <f xml:space="preserve"> 7 + (39 / 60) + (48.46 / 3600)</f>
        <v>7.6634611111111113</v>
      </c>
      <c r="I41" s="98">
        <f xml:space="preserve"> (0 / 60) + (30.15 / 3600)</f>
        <v>8.3749999999999988E-3</v>
      </c>
      <c r="J41" s="98">
        <f xml:space="preserve"> -3 + (50 / 60) + (15.8 / 3600)</f>
        <v>-2.1622777777777777</v>
      </c>
      <c r="K41" s="98">
        <f xml:space="preserve"> (10 / 60) + (50.36 / 3600)</f>
        <v>0.18065555555555554</v>
      </c>
      <c r="L41" s="98">
        <f xml:space="preserve"> -14 + (57 / 60) + (29.66 / 3600)</f>
        <v>-13.041761111111112</v>
      </c>
      <c r="M41" s="98">
        <f xml:space="preserve"> (16 / 60) + (28.58 / 3600)</f>
        <v>0.27460555555555555</v>
      </c>
      <c r="N41" s="98">
        <f xml:space="preserve"> -22 + (2 / 60) + (55.42 / 3600)</f>
        <v>-21.951272222222222</v>
      </c>
      <c r="O41" s="98">
        <f xml:space="preserve"> (10 / 60) + (28.12 / 3600)</f>
        <v>0.17447777777777776</v>
      </c>
    </row>
    <row r="42" spans="3:15" x14ac:dyDescent="0.35">
      <c r="C42" s="103">
        <v>3</v>
      </c>
      <c r="D42" s="98">
        <f xml:space="preserve"> 22 + (53 / 60) + (57.61 / 3600)</f>
        <v>22.899336111111111</v>
      </c>
      <c r="E42" s="98">
        <f xml:space="preserve"> (-4 / 60) + (16.8 / 3600)</f>
        <v>-6.2E-2</v>
      </c>
      <c r="F42" s="98">
        <f xml:space="preserve"> 17 + (19 / 60) + (8.01 / 3600)</f>
        <v>17.318891666666666</v>
      </c>
      <c r="G42" s="98">
        <f xml:space="preserve"> (-6 / 60) + (6.58 / 3600)</f>
        <v>-9.817222222222223E-2</v>
      </c>
      <c r="H42" s="98">
        <f xml:space="preserve"> 7 + (17 / 60) + (46.83 / 3600)</f>
        <v>7.2963416666666667</v>
      </c>
      <c r="I42" s="98">
        <f xml:space="preserve"> (0 / 60) + (49.76 / 3600)</f>
        <v>1.3822222222222222E-2</v>
      </c>
      <c r="J42" s="98">
        <f xml:space="preserve"> -4 + (13 / 60) + (26.45 / 3600)</f>
        <v>-3.775986111111111</v>
      </c>
      <c r="K42" s="98">
        <f xml:space="preserve"> (11 / 60) + (9.08 / 3600)</f>
        <v>0.18585555555555555</v>
      </c>
      <c r="L42" s="98">
        <f xml:space="preserve"> -15 + (16 / 60) + (11.24 / 3600)</f>
        <v>-14.73021111111111</v>
      </c>
      <c r="M42" s="98">
        <f xml:space="preserve"> (16 / 60) + (28.51 / 3600)</f>
        <v>0.27458611111111109</v>
      </c>
      <c r="N42" s="98">
        <f xml:space="preserve"> -22 + (11 / 60) + (20.15 / 3600)</f>
        <v>-21.811069444444446</v>
      </c>
      <c r="O42" s="98">
        <f xml:space="preserve"> (10 / 60) + (4.43 / 3600)</f>
        <v>0.16789722222222223</v>
      </c>
    </row>
    <row r="43" spans="3:15" x14ac:dyDescent="0.35">
      <c r="C43" s="103">
        <v>4</v>
      </c>
      <c r="D43" s="98">
        <f xml:space="preserve"> 22 + (48 / 60) + (38.87 / 3600)</f>
        <v>22.810797222222224</v>
      </c>
      <c r="E43" s="98">
        <f xml:space="preserve"> (-4 / 60) + (27.48 / 3600)</f>
        <v>-5.9033333333333333E-2</v>
      </c>
      <c r="F43" s="98">
        <f xml:space="preserve"> 17 + (3 / 60) + (7.5 / 3600)</f>
        <v>17.052083333333336</v>
      </c>
      <c r="G43" s="98">
        <f xml:space="preserve"> (-6 / 60) + (1.01 / 3600)</f>
        <v>-9.9719444444444444E-2</v>
      </c>
      <c r="H43" s="98">
        <f xml:space="preserve"> 6 + (55 / 60) + (38.11 / 3600)</f>
        <v>6.9272527777777784</v>
      </c>
      <c r="I43" s="98">
        <f xml:space="preserve"> (1 / 60) + (9.62 / 3600)</f>
        <v>1.9338888888888888E-2</v>
      </c>
      <c r="J43" s="98">
        <f xml:space="preserve"> -4 + (36 / 60) + (34.1 / 3600)</f>
        <v>-3.3905277777777778</v>
      </c>
      <c r="K43" s="98">
        <f xml:space="preserve"> (11 / 60) + (27.46 / 3600)</f>
        <v>0.19096111111111111</v>
      </c>
      <c r="L43" s="98">
        <f xml:space="preserve"> -15 + (34 / 60) + (37.83 / 3600)</f>
        <v>-14.422825</v>
      </c>
      <c r="M43" s="98">
        <f xml:space="preserve"> (16 / 60) + (27.62 / 3600)</f>
        <v>0.27433888888888891</v>
      </c>
      <c r="N43" s="98">
        <f xml:space="preserve"> -22 + (19 / 60) + (19.13 / 3600)</f>
        <v>-21.678019444444445</v>
      </c>
      <c r="O43" s="98">
        <f xml:space="preserve"> (9 / 60) + (40.17 / 3600)</f>
        <v>0.16115833333333332</v>
      </c>
    </row>
    <row r="44" spans="3:15" x14ac:dyDescent="0.35">
      <c r="C44" s="103">
        <v>5</v>
      </c>
      <c r="D44" s="98">
        <f xml:space="preserve"> 22 + (42 / 60) + (56.34 / 3600)</f>
        <v>22.71565</v>
      </c>
      <c r="E44" s="98">
        <f xml:space="preserve"> (-4 / 60) + (37.83 / 3600)</f>
        <v>-5.6158333333333331E-2</v>
      </c>
      <c r="F44" s="98">
        <f xml:space="preserve"> 16 + (46 / 60) + (50.46 / 3600)</f>
        <v>16.780683333333332</v>
      </c>
      <c r="G44" s="98">
        <f xml:space="preserve"> (-5 / 60) + (54.84 / 3600)</f>
        <v>-6.8099999999999994E-2</v>
      </c>
      <c r="H44" s="98">
        <f xml:space="preserve"> 6 + (33 / 60) + (22.6 / 3600)</f>
        <v>6.5562777777777779</v>
      </c>
      <c r="I44" s="98">
        <f xml:space="preserve"> (1 / 60) + (29.71 / 3600)</f>
        <v>2.4919444444444445E-2</v>
      </c>
      <c r="J44" s="98">
        <f xml:space="preserve"> -4 + (59 / 60) + (38.37 / 3600)</f>
        <v>-3.0060083333333334</v>
      </c>
      <c r="K44" s="98">
        <f xml:space="preserve"> (11 / 60) + (45.48 / 3600)</f>
        <v>0.19596666666666665</v>
      </c>
      <c r="L44" s="98">
        <f xml:space="preserve"> -15 + (52 / 60) + (49 / 3600)</f>
        <v>-14.119722222222222</v>
      </c>
      <c r="M44" s="98">
        <f xml:space="preserve"> (16 / 60) + (25.91 / 3600)</f>
        <v>0.27386388888888891</v>
      </c>
      <c r="N44" s="98">
        <f xml:space="preserve"> -22 + (26 / 60) + (52.12 / 3600)</f>
        <v>-21.552188888888889</v>
      </c>
      <c r="O44" s="98">
        <f xml:space="preserve"> (9 / 60) + (15.34 / 3600)</f>
        <v>0.1542611111111111</v>
      </c>
    </row>
    <row r="45" spans="3:15" x14ac:dyDescent="0.35">
      <c r="C45" s="103">
        <v>6</v>
      </c>
      <c r="D45" s="98">
        <f xml:space="preserve"> 22 + (36 / 60) + (50.15 / 3600)</f>
        <v>22.613930555555555</v>
      </c>
      <c r="E45" s="98">
        <f xml:space="preserve"> (-4 / 60) + (47.82 / 3600)</f>
        <v>-5.3383333333333331E-2</v>
      </c>
      <c r="F45" s="98">
        <f xml:space="preserve"> 16 + (30 / 60) + (17.16 / 3600)</f>
        <v>16.504766666666665</v>
      </c>
      <c r="G45" s="98">
        <f xml:space="preserve"> (-5 / 60) + (48.08 / 3600)</f>
        <v>-6.9977777777777778E-2</v>
      </c>
      <c r="H45" s="98">
        <f xml:space="preserve"> 6 + (11 / 60) + (0.64 / 3600)</f>
        <v>6.1835111111111116</v>
      </c>
      <c r="I45" s="98">
        <f xml:space="preserve"> (1 / 60) + (50.02 / 3600)</f>
        <v>3.0561111111111112E-2</v>
      </c>
      <c r="J45" s="98">
        <f xml:space="preserve"> -5 + (22 / 60) + (38.92 / 3600)</f>
        <v>-4.6225222222222229</v>
      </c>
      <c r="K45" s="98">
        <f xml:space="preserve"> (12 / 60) + (3.12 / 3600)</f>
        <v>0.20086666666666667</v>
      </c>
      <c r="L45" s="98">
        <f xml:space="preserve"> -16 + (10 / 60) + (44.37 / 3600)</f>
        <v>-15.821008333333333</v>
      </c>
      <c r="M45" s="98">
        <f xml:space="preserve"> (16 / 60) + (23.36 / 3600)</f>
        <v>0.27315555555555554</v>
      </c>
      <c r="N45" s="98">
        <f xml:space="preserve"> -22 + (33 / 60) + (58.89 / 3600)</f>
        <v>-21.433641666666666</v>
      </c>
      <c r="O45" s="98">
        <f xml:space="preserve"> (8 / 60) + (49.97 / 3600)</f>
        <v>0.14721388888888889</v>
      </c>
    </row>
    <row r="46" spans="3:15" x14ac:dyDescent="0.35">
      <c r="C46" s="103">
        <v>7</v>
      </c>
      <c r="D46" s="98">
        <f xml:space="preserve"> 22 + (30 / 60) + (20.45 / 3600)</f>
        <v>22.505680555555557</v>
      </c>
      <c r="E46" s="98">
        <f xml:space="preserve"> (-4 / 60) + (57.43 / 3600)</f>
        <v>-5.0713888888888892E-2</v>
      </c>
      <c r="F46" s="98">
        <f xml:space="preserve"> 16 + (13 / 60) + (27.93 / 3600)</f>
        <v>16.224425</v>
      </c>
      <c r="G46" s="98">
        <f xml:space="preserve"> (-5 / 60) + (40.72 / 3600)</f>
        <v>-7.2022222222222224E-2</v>
      </c>
      <c r="H46" s="98">
        <f xml:space="preserve"> 5 + (48 / 60) + (32.55 / 3600)</f>
        <v>5.8090416666666664</v>
      </c>
      <c r="I46" s="98">
        <f xml:space="preserve"> (2 / 60) + (10.52 / 3600)</f>
        <v>3.6255555555555555E-2</v>
      </c>
      <c r="J46" s="98">
        <f xml:space="preserve"> -5 + (45 / 60) + (35.37 / 3600)</f>
        <v>-4.2401749999999998</v>
      </c>
      <c r="K46" s="98">
        <f xml:space="preserve"> (12 / 60) + (20.36 / 3600)</f>
        <v>0.20565555555555556</v>
      </c>
      <c r="L46" s="98">
        <f xml:space="preserve"> -16 + (28 / 60) + (23.51 / 3600)</f>
        <v>-15.526802777777778</v>
      </c>
      <c r="M46" s="98">
        <f xml:space="preserve"> (16 / 60) + (19.98 / 3600)</f>
        <v>0.27221666666666666</v>
      </c>
      <c r="N46" s="98">
        <f xml:space="preserve"> -22 + (40 / 60) + (39.19 / 3600)</f>
        <v>-21.32244722222222</v>
      </c>
      <c r="O46" s="98">
        <f xml:space="preserve"> (8 / 60) + (24.09 / 3600)</f>
        <v>0.14002500000000001</v>
      </c>
    </row>
    <row r="47" spans="3:15" x14ac:dyDescent="0.35">
      <c r="C47" s="103">
        <v>8</v>
      </c>
      <c r="D47" s="98">
        <f xml:space="preserve"> 22 + (23 / 60) + (27.41 / 3600)</f>
        <v>22.390947222222223</v>
      </c>
      <c r="E47" s="98">
        <f xml:space="preserve"> (-5 / 60) + (6.66 / 3600)</f>
        <v>-8.1483333333333324E-2</v>
      </c>
      <c r="F47" s="98">
        <f xml:space="preserve"> 15 + (56 / 60) + (23.05 / 3600)</f>
        <v>15.939736111111111</v>
      </c>
      <c r="G47" s="98">
        <f xml:space="preserve"> (-5 / 60) + (32.77 / 3600)</f>
        <v>-7.423055555555555E-2</v>
      </c>
      <c r="H47" s="98">
        <f xml:space="preserve"> 5 + (25 / 60) + (58.65 / 3600)</f>
        <v>5.4329583333333336</v>
      </c>
      <c r="I47" s="98">
        <f xml:space="preserve"> (2 / 60) + (31.21 / 3600)</f>
        <v>4.2002777777777778E-2</v>
      </c>
      <c r="J47" s="98">
        <f xml:space="preserve"> -6 + (8 / 60) + (27.36 / 3600)</f>
        <v>-5.8590666666666662</v>
      </c>
      <c r="K47" s="98">
        <f xml:space="preserve"> (12 / 60) + (37.17 / 3600)</f>
        <v>0.21032500000000001</v>
      </c>
      <c r="L47" s="98">
        <f xml:space="preserve"> -16 + (45 / 60) + (46.04 / 3600)</f>
        <v>-15.237211111111112</v>
      </c>
      <c r="M47" s="98">
        <f xml:space="preserve"> (16 / 60) + (15.75 / 3600)</f>
        <v>0.27104166666666668</v>
      </c>
      <c r="N47" s="98">
        <f xml:space="preserve"> -22 + (46 / 60) + (52.83 / 3600)</f>
        <v>-21.218658333333334</v>
      </c>
      <c r="O47" s="98">
        <f xml:space="preserve"> (7 / 60) + (57.74 / 3600)</f>
        <v>0.13270555555555555</v>
      </c>
    </row>
    <row r="48" spans="3:15" x14ac:dyDescent="0.35">
      <c r="C48" s="103">
        <v>9</v>
      </c>
      <c r="D48" s="98">
        <f xml:space="preserve"> 22 + (16 / 60) + (11.18 / 3600)</f>
        <v>22.269772222222223</v>
      </c>
      <c r="E48" s="98">
        <f xml:space="preserve"> (-5 / 60) + (15.48 / 3600)</f>
        <v>-7.903333333333333E-2</v>
      </c>
      <c r="F48" s="98">
        <f xml:space="preserve"> 15 + (39 / 60) + (2.84 / 3600)</f>
        <v>15.65078888888889</v>
      </c>
      <c r="G48" s="98">
        <f xml:space="preserve"> (-5 / 60) + (24.24 / 3600)</f>
        <v>-7.6600000000000001E-2</v>
      </c>
      <c r="H48" s="98">
        <f xml:space="preserve"> 5 + (3 / 60) + (19.28 / 3600)</f>
        <v>5.0553555555555549</v>
      </c>
      <c r="I48" s="98">
        <f xml:space="preserve"> (2 / 60) + (52.05 / 3600)</f>
        <v>4.7791666666666663E-2</v>
      </c>
      <c r="J48" s="98">
        <f xml:space="preserve"> -6 + (31 / 60) + (14.52 / 3600)</f>
        <v>-5.4793000000000003</v>
      </c>
      <c r="K48" s="98">
        <f xml:space="preserve"> (12 / 60) + (53.55 / 3600)</f>
        <v>0.21487500000000001</v>
      </c>
      <c r="L48" s="98">
        <f xml:space="preserve"> -17 + (2 / 60) + (51.54 / 3600)</f>
        <v>-16.952349999999999</v>
      </c>
      <c r="M48" s="98">
        <f xml:space="preserve"> (16 / 60) + (10.68 / 3600)</f>
        <v>0.26963333333333334</v>
      </c>
      <c r="N48" s="98">
        <f xml:space="preserve"> -22 + (52 / 60) + (39.6 / 3600)</f>
        <v>-21.122333333333334</v>
      </c>
      <c r="O48" s="98">
        <f xml:space="preserve"> (7 / 60) + (30.92 / 3600)</f>
        <v>0.12525555555555556</v>
      </c>
    </row>
    <row r="49" spans="3:15" x14ac:dyDescent="0.35">
      <c r="C49" s="103">
        <v>10</v>
      </c>
      <c r="D49" s="98">
        <f xml:space="preserve"> 22 + (8 / 60) + (31.94 / 3600)</f>
        <v>22.142205555555556</v>
      </c>
      <c r="E49" s="98">
        <f xml:space="preserve"> (-5 / 60) + (23.88 / 3600)</f>
        <v>-7.669999999999999E-2</v>
      </c>
      <c r="F49" s="98">
        <f xml:space="preserve"> 15 + (21 / 60) + (27.6 / 3600)</f>
        <v>15.357666666666667</v>
      </c>
      <c r="G49" s="98">
        <f xml:space="preserve"> (-5 / 60) + (15.14 / 3600)</f>
        <v>-7.9127777777777769E-2</v>
      </c>
      <c r="H49" s="98">
        <f xml:space="preserve"> 4 + (40 / 60) + (34.75 / 3600)</f>
        <v>4.6763194444444451</v>
      </c>
      <c r="I49" s="98">
        <f xml:space="preserve"> (3 / 60) + (13.04 / 3600)</f>
        <v>5.3622222222222224E-2</v>
      </c>
      <c r="J49" s="98">
        <f xml:space="preserve"> -6 + (53 / 60) + (56.49 / 3600)</f>
        <v>-5.100975</v>
      </c>
      <c r="K49" s="98">
        <f xml:space="preserve"> (13 / 60) + (9.46 / 3600)</f>
        <v>0.21929444444444446</v>
      </c>
      <c r="L49" s="98">
        <f xml:space="preserve"> -17 + (19 / 60) + (39.61 / 3600)</f>
        <v>-16.672330555555554</v>
      </c>
      <c r="M49" s="98">
        <f xml:space="preserve"> (16 / 60) + (4.76 / 3600)</f>
        <v>0.26798888888888889</v>
      </c>
      <c r="N49" s="98">
        <f xml:space="preserve"> -22 + (57 / 60) + (59.31 / 3600)</f>
        <v>-21.033525000000001</v>
      </c>
      <c r="O49" s="98">
        <f xml:space="preserve"> (7 / 60) + (3.69 / 3600)</f>
        <v>0.11769166666666667</v>
      </c>
    </row>
    <row r="50" spans="3:15" x14ac:dyDescent="0.35">
      <c r="C50" s="103">
        <v>11</v>
      </c>
      <c r="D50" s="98">
        <f xml:space="preserve"> 22 + (0 / 60) + (29.87 / 3600)</f>
        <v>22.008297222222222</v>
      </c>
      <c r="E50" s="98">
        <f xml:space="preserve"> (-5 / 60) + (31.83 / 3600)</f>
        <v>-7.4491666666666664E-2</v>
      </c>
      <c r="F50" s="98">
        <f xml:space="preserve"> 15 + (3 / 60) + (37.63 / 3600)</f>
        <v>15.060452777777778</v>
      </c>
      <c r="G50" s="98">
        <f xml:space="preserve"> (-5 / 60) + (5.46 / 3600)</f>
        <v>-8.1816666666666663E-2</v>
      </c>
      <c r="H50" s="98">
        <f xml:space="preserve"> 4 + (17 / 60) + (45.4 / 3600)</f>
        <v>4.2959444444444443</v>
      </c>
      <c r="I50" s="98">
        <f xml:space="preserve"> (3 / 60) + (34.14 / 3600)</f>
        <v>5.9483333333333333E-2</v>
      </c>
      <c r="J50" s="98">
        <f xml:space="preserve"> -7 + (16 / 60) + (32.9 / 3600)</f>
        <v>-6.7241944444444446</v>
      </c>
      <c r="K50" s="98">
        <f xml:space="preserve"> (13 / 60) + (24.89 / 3600)</f>
        <v>0.22358055555555556</v>
      </c>
      <c r="L50" s="98">
        <f xml:space="preserve"> -17 + (36 / 60) + (9.86 / 3600)</f>
        <v>-16.39726111111111</v>
      </c>
      <c r="M50" s="98">
        <f xml:space="preserve"> (15 / 60) + (57.99 / 3600)</f>
        <v>0.26610833333333334</v>
      </c>
      <c r="N50" s="98">
        <f xml:space="preserve"> -23 + (2 / 60) + (51.77 / 3600)</f>
        <v>-22.952286111111111</v>
      </c>
      <c r="O50" s="98">
        <f xml:space="preserve"> (6 / 60) + (36.05 / 3600)</f>
        <v>0.1100138888888889</v>
      </c>
    </row>
    <row r="51" spans="3:15" x14ac:dyDescent="0.35">
      <c r="C51" s="103">
        <v>12</v>
      </c>
      <c r="D51" s="98">
        <f xml:space="preserve"> 21 + (52 / 60) + (5.15 / 3600)</f>
        <v>21.868097222222222</v>
      </c>
      <c r="E51" s="98">
        <f xml:space="preserve"> (-5 / 60) + (39.33 / 3600)</f>
        <v>-7.2408333333333325E-2</v>
      </c>
      <c r="F51" s="98">
        <f xml:space="preserve"> 14 + (45 / 60) + (33.26 / 3600)</f>
        <v>14.759238888888889</v>
      </c>
      <c r="G51" s="98">
        <f xml:space="preserve"> (-4 / 60) + (55.23 / 3600)</f>
        <v>-5.1324999999999996E-2</v>
      </c>
      <c r="H51" s="98">
        <f xml:space="preserve"> 3 + (54 / 60) + (51.55 / 3600)</f>
        <v>3.9143194444444442</v>
      </c>
      <c r="I51" s="98">
        <f xml:space="preserve"> (3 / 60) + (55.35 / 3600)</f>
        <v>6.5375000000000003E-2</v>
      </c>
      <c r="J51" s="98">
        <f xml:space="preserve"> -7 + (39 / 60) + (3.37 / 3600)</f>
        <v>-6.3490638888888888</v>
      </c>
      <c r="K51" s="98">
        <f xml:space="preserve"> (13 / 60) + (39.83 / 3600)</f>
        <v>0.22773055555555557</v>
      </c>
      <c r="L51" s="98">
        <f xml:space="preserve"> -17 + (20 / 60) + (21.88 / 3600)</f>
        <v>-16.660588888888888</v>
      </c>
      <c r="M51" s="98">
        <f xml:space="preserve"> (15 / 60) + (50.37 / 3600)</f>
        <v>0.26399166666666668</v>
      </c>
      <c r="N51" s="98">
        <f xml:space="preserve"> -23 + (7 / 60) + (16.84 / 3600)</f>
        <v>-22.878655555555554</v>
      </c>
      <c r="O51" s="98">
        <f xml:space="preserve"> (6 / 60) + (8.05 / 3600)</f>
        <v>0.10223611111111111</v>
      </c>
    </row>
    <row r="52" spans="3:15" x14ac:dyDescent="0.35">
      <c r="C52" s="103">
        <v>13</v>
      </c>
      <c r="D52" s="98">
        <f xml:space="preserve"> 21 + (43 / 60) + (17.98 / 3600)</f>
        <v>21.721661111111111</v>
      </c>
      <c r="E52" s="98">
        <f xml:space="preserve"> (-5 / 60) + (46.35 / 3600)</f>
        <v>-7.0458333333333331E-2</v>
      </c>
      <c r="F52" s="98">
        <f xml:space="preserve"> 14 + (27 / 60) + (14.77 / 3600)</f>
        <v>14.454102777777777</v>
      </c>
      <c r="G52" s="98">
        <f xml:space="preserve"> (-4 / 60) + (44.44 / 3600)</f>
        <v>-5.4322222222222223E-2</v>
      </c>
      <c r="H52" s="98">
        <f xml:space="preserve"> 3 + (31 / 60) + (53.54 / 3600)</f>
        <v>3.531538888888889</v>
      </c>
      <c r="I52" s="98">
        <f xml:space="preserve"> (4 / 60) + (16.65 / 3600)</f>
        <v>7.129166666666667E-2</v>
      </c>
      <c r="J52" s="98">
        <f xml:space="preserve"> -8 + (1 / 60) + (27.52 / 3600)</f>
        <v>-7.9756888888888886</v>
      </c>
      <c r="K52" s="98">
        <f xml:space="preserve"> (13 / 60) + (54.25 / 3600)</f>
        <v>0.23173611111111111</v>
      </c>
      <c r="L52" s="98">
        <f xml:space="preserve"> -18 + (8 / 60) + (15.29 / 3600)</f>
        <v>-17.862419444444445</v>
      </c>
      <c r="M52" s="98">
        <f xml:space="preserve"> (15 / 60) + (41.9 / 3600)</f>
        <v>0.26163888888888887</v>
      </c>
      <c r="N52" s="98">
        <f xml:space="preserve"> -23 + (11 / 60) + (14.36 / 3600)</f>
        <v>-22.812677777777779</v>
      </c>
      <c r="O52" s="98">
        <f xml:space="preserve"> (5 / 60) + (39.72 / 3600)</f>
        <v>9.4366666666666654E-2</v>
      </c>
    </row>
    <row r="53" spans="3:15" x14ac:dyDescent="0.35">
      <c r="C53" s="103">
        <v>14</v>
      </c>
      <c r="D53" s="98">
        <f xml:space="preserve"> 21 + (34 / 60) + (8.56 / 3600)</f>
        <v>21.569044444444444</v>
      </c>
      <c r="E53" s="98">
        <f xml:space="preserve"> (-5 / 60) + (52.89 / 3600)</f>
        <v>-6.8641666666666656E-2</v>
      </c>
      <c r="F53" s="98">
        <f xml:space="preserve"> 14 + (8 / 60) + (42.5 / 3600)</f>
        <v>14.145138888888889</v>
      </c>
      <c r="G53" s="98">
        <f xml:space="preserve"> (-4 / 60) + (33.11 / 3600)</f>
        <v>-5.7469444444444448E-2</v>
      </c>
      <c r="H53" s="98">
        <f xml:space="preserve"> 3 + (8 / 60) + (51.69 / 3600)</f>
        <v>3.1476916666666668</v>
      </c>
      <c r="I53" s="98">
        <f xml:space="preserve"> (4 / 60) + (38 / 3600)</f>
        <v>7.722222222222222E-2</v>
      </c>
      <c r="J53" s="98">
        <f xml:space="preserve"> -8 + (23 / 60) + (44.98 / 3600)</f>
        <v>-7.6041722222222221</v>
      </c>
      <c r="K53" s="98">
        <f xml:space="preserve"> (14 / 60) + (8.14 / 3600)</f>
        <v>0.23559444444444444</v>
      </c>
      <c r="L53" s="98">
        <f xml:space="preserve"> -18 + (23 / 60) + (49.69 / 3600)</f>
        <v>-17.602863888888891</v>
      </c>
      <c r="M53" s="98">
        <f xml:space="preserve"> (15 / 60) + (32.58 / 3600)</f>
        <v>0.25905</v>
      </c>
      <c r="N53" s="98">
        <f xml:space="preserve"> -23 + (14 / 60) + (44.19 / 3600)</f>
        <v>-22.754391666666667</v>
      </c>
      <c r="O53" s="98">
        <f xml:space="preserve"> (5 / 60) + (11.09 / 3600)</f>
        <v>8.6413888888888887E-2</v>
      </c>
    </row>
    <row r="54" spans="3:15" x14ac:dyDescent="0.35">
      <c r="C54" s="103">
        <v>15</v>
      </c>
      <c r="D54" s="98">
        <f xml:space="preserve"> 21 + (24 / 60) + (37.09 / 3600)</f>
        <v>21.410302777777776</v>
      </c>
      <c r="E54" s="98">
        <f xml:space="preserve"> (-5 / 60) + (58.93 / 3600)</f>
        <v>-6.6963888888888878E-2</v>
      </c>
      <c r="F54" s="98">
        <f xml:space="preserve"> 13 + (49 / 60) + (56.74 / 3600)</f>
        <v>13.832427777777777</v>
      </c>
      <c r="G54" s="98">
        <f xml:space="preserve"> (-4 / 60) + (21.24 / 3600)</f>
        <v>-6.0766666666666663E-2</v>
      </c>
      <c r="H54" s="98">
        <f xml:space="preserve"> 2 + (45 / 60) + (46.33 / 3600)</f>
        <v>2.7628694444444446</v>
      </c>
      <c r="I54" s="98">
        <f xml:space="preserve"> (4 / 60) + (59.4 / 3600)</f>
        <v>8.3166666666666667E-2</v>
      </c>
      <c r="J54" s="98">
        <f xml:space="preserve"> -8 + (45 / 60) + (55.37 / 3600)</f>
        <v>-7.2346194444444443</v>
      </c>
      <c r="K54" s="98">
        <f xml:space="preserve"> (14 / 60) + (21.47 / 3600)</f>
        <v>0.23929722222222222</v>
      </c>
      <c r="L54" s="98">
        <f xml:space="preserve"> -18 + (39 / 60) + (4.69 / 3600)</f>
        <v>-17.348697222222224</v>
      </c>
      <c r="M54" s="98">
        <f xml:space="preserve"> (15 / 60) + (22.42 / 3600)</f>
        <v>0.25622777777777778</v>
      </c>
      <c r="N54" s="98">
        <f xml:space="preserve"> -23 + (17 / 60) + (46.22 / 3600)</f>
        <v>-22.703827777777775</v>
      </c>
      <c r="O54" s="98">
        <f xml:space="preserve"> (4 / 60) + (42.18 / 3600)</f>
        <v>7.8383333333333333E-2</v>
      </c>
    </row>
    <row r="55" spans="3:15" x14ac:dyDescent="0.35">
      <c r="C55" s="103">
        <v>16</v>
      </c>
      <c r="D55" s="98">
        <f xml:space="preserve"> 21 + (14 / 60) + (43.79 / 3600)</f>
        <v>21.245497222222223</v>
      </c>
      <c r="E55" s="98">
        <f xml:space="preserve"> (-6 / 60) + (4.46 / 3600)</f>
        <v>-9.8761111111111119E-2</v>
      </c>
      <c r="F55" s="98">
        <f xml:space="preserve"> 13 + (30 / 60) + (57.82 / 3600)</f>
        <v>13.516061111111112</v>
      </c>
      <c r="G55" s="98">
        <f xml:space="preserve"> (-4 / 60) + (8.85 / 3600)</f>
        <v>-6.4208333333333339E-2</v>
      </c>
      <c r="H55" s="98">
        <f xml:space="preserve"> 2 + (22 / 60) + (37.79 / 3600)</f>
        <v>2.3771638888888891</v>
      </c>
      <c r="I55" s="98">
        <f xml:space="preserve"> (5 / 60) + (20.83 / 3600)</f>
        <v>8.9119444444444446E-2</v>
      </c>
      <c r="J55" s="98">
        <f xml:space="preserve"> -9 + (7 / 60) + (58.31 / 3600)</f>
        <v>-8.86713611111111</v>
      </c>
      <c r="K55" s="98">
        <f xml:space="preserve"> (14 / 60) + (34.23 / 3600)</f>
        <v>0.24284166666666668</v>
      </c>
      <c r="L55" s="98">
        <f xml:space="preserve"> -18 + (53 / 60) + (59.9 / 3600)</f>
        <v>-17.100027777777779</v>
      </c>
      <c r="M55" s="98">
        <f xml:space="preserve"> (15 / 60) + (11.41 / 3600)</f>
        <v>0.25316944444444445</v>
      </c>
      <c r="N55" s="98">
        <f xml:space="preserve"> -23 + (20 / 60) + (20.33 / 3600)</f>
        <v>-22.661019444444445</v>
      </c>
      <c r="O55" s="98">
        <f xml:space="preserve"> (4 / 60) + (13.04 / 3600)</f>
        <v>7.0288888888888887E-2</v>
      </c>
    </row>
    <row r="56" spans="3:15" x14ac:dyDescent="0.35">
      <c r="C56" s="103">
        <v>17</v>
      </c>
      <c r="D56" s="98">
        <f xml:space="preserve"> 21 + (4 / 60) + (28.89 / 3600)</f>
        <v>21.074691666666666</v>
      </c>
      <c r="E56" s="98">
        <f xml:space="preserve"> (-6 / 60) + (9.46 / 3600)</f>
        <v>-9.7372222222222221E-2</v>
      </c>
      <c r="F56" s="98">
        <f xml:space="preserve"> 13 + (11 / 60) + (46.05 / 3600)</f>
        <v>13.196125</v>
      </c>
      <c r="G56" s="98">
        <f xml:space="preserve"> (-3 / 60) + (55.95 / 3600)</f>
        <v>-3.4458333333333334E-2</v>
      </c>
      <c r="H56" s="98">
        <f xml:space="preserve"> 1 + (59 / 60) + (26.41 / 3600)</f>
        <v>1.9906694444444446</v>
      </c>
      <c r="I56" s="98">
        <f xml:space="preserve"> (5 / 60) + (42.26 / 3600)</f>
        <v>9.5072222222222225E-2</v>
      </c>
      <c r="J56" s="98">
        <f xml:space="preserve"> -9 + (29 / 60) + (53.41 / 3600)</f>
        <v>-8.5018305555555571</v>
      </c>
      <c r="K56" s="98">
        <f xml:space="preserve"> (14 / 60) + (46.4 / 3600)</f>
        <v>0.24622222222222223</v>
      </c>
      <c r="L56" s="98">
        <f xml:space="preserve"> -19 + (8 / 60) + (34.94 / 3600)</f>
        <v>-18.856961111111112</v>
      </c>
      <c r="M56" s="98">
        <f xml:space="preserve"> (14 / 60) + (59.57 / 3600)</f>
        <v>0.24988055555555555</v>
      </c>
      <c r="N56" s="98">
        <f xml:space="preserve"> -23 + (22 / 60) + (26.44 / 3600)</f>
        <v>-22.625988888888887</v>
      </c>
      <c r="O56" s="98">
        <f xml:space="preserve"> (3 / 60) + (43.69 / 3600)</f>
        <v>6.2136111111111114E-2</v>
      </c>
    </row>
    <row r="57" spans="3:15" x14ac:dyDescent="0.35">
      <c r="C57" s="103">
        <v>18</v>
      </c>
      <c r="D57" s="98">
        <f xml:space="preserve"> 20 + (53 / 60) + (52.6 / 3600)</f>
        <v>20.897944444444445</v>
      </c>
      <c r="E57" s="98">
        <f xml:space="preserve"> (-6 / 60) + (13.93 / 3600)</f>
        <v>-9.6130555555555566E-2</v>
      </c>
      <c r="F57" s="98">
        <f xml:space="preserve"> 12 + (52 / 60) + (21.73 / 3600)</f>
        <v>12.872702777777778</v>
      </c>
      <c r="G57" s="98">
        <f xml:space="preserve"> (-3 / 60) + (42.54 / 3600)</f>
        <v>-3.8183333333333333E-2</v>
      </c>
      <c r="H57" s="98">
        <f xml:space="preserve"> 1 + (36 / 60) + (12.53 / 3600)</f>
        <v>1.6034805555555556</v>
      </c>
      <c r="I57" s="98">
        <f xml:space="preserve"> (6 / 60) + (3.67 / 3600)</f>
        <v>0.10101944444444445</v>
      </c>
      <c r="J57" s="98">
        <f xml:space="preserve"> -9 + (51 / 60) + (40.29 / 3600)</f>
        <v>-8.1388083333333334</v>
      </c>
      <c r="K57" s="98">
        <f xml:space="preserve"> (14 / 60) + (57.97 / 3600)</f>
        <v>0.24943611111111111</v>
      </c>
      <c r="L57" s="98">
        <f xml:space="preserve"> -19 + (22 / 60) + (49.43 / 3600)</f>
        <v>-18.619602777777779</v>
      </c>
      <c r="M57" s="98">
        <f xml:space="preserve"> (14 / 60) + (46.9 / 3600)</f>
        <v>0.24636111111111111</v>
      </c>
      <c r="N57" s="98">
        <f xml:space="preserve"> -23 + (24 / 60) + (4.45 / 3600)</f>
        <v>-22.59876388888889</v>
      </c>
      <c r="O57" s="98">
        <f xml:space="preserve"> (3 / 60) + (14.18 / 3600)</f>
        <v>5.393888888888889E-2</v>
      </c>
    </row>
    <row r="58" spans="3:15" x14ac:dyDescent="0.35">
      <c r="C58" s="103">
        <v>19</v>
      </c>
      <c r="D58" s="98">
        <f xml:space="preserve"> 20 + (42 / 60) + (55.16 / 3600)</f>
        <v>20.71532222222222</v>
      </c>
      <c r="E58" s="98">
        <f xml:space="preserve"> (-6 / 60) + (17.85 / 3600)</f>
        <v>-9.5041666666666677E-2</v>
      </c>
      <c r="F58" s="98">
        <f xml:space="preserve"> 12 + (32 / 60) + (45.2 / 3600)</f>
        <v>12.545888888888889</v>
      </c>
      <c r="G58" s="98">
        <f xml:space="preserve"> (-3 / 60) + (28.63 / 3600)</f>
        <v>-4.2047222222222222E-2</v>
      </c>
      <c r="H58" s="98">
        <f xml:space="preserve"> 1 + (12 / 60) + (56.46 / 3600)</f>
        <v>1.2156833333333332</v>
      </c>
      <c r="I58" s="98">
        <f xml:space="preserve"> (6 / 60) + (25.05 / 3600)</f>
        <v>0.10695833333333334</v>
      </c>
      <c r="J58" s="98">
        <f xml:space="preserve"> -10 + (13 / 60) + (18.56 / 3600)</f>
        <v>-9.7781777777777776</v>
      </c>
      <c r="K58" s="98">
        <f xml:space="preserve"> (15 / 60) + (8.92 / 3600)</f>
        <v>0.2524777777777778</v>
      </c>
      <c r="L58" s="98">
        <f xml:space="preserve"> -19 + (36 / 60) + (43 / 3600)</f>
        <v>-18.388055555555553</v>
      </c>
      <c r="M58" s="98">
        <f xml:space="preserve"> (14 / 60) + (33.4 / 3600)</f>
        <v>0.24261111111111111</v>
      </c>
      <c r="N58" s="98">
        <f xml:space="preserve"> -23 + (25 / 60) + (14.33 / 3600)</f>
        <v>-22.579352777777778</v>
      </c>
      <c r="O58" s="98">
        <f xml:space="preserve"> (2 / 60) + (44.52 / 3600)</f>
        <v>4.5700000000000005E-2</v>
      </c>
    </row>
    <row r="59" spans="3:15" x14ac:dyDescent="0.35">
      <c r="C59" s="103">
        <v>20</v>
      </c>
      <c r="D59" s="98">
        <f xml:space="preserve"> 20 + (31 / 60) + (36.8 / 3600)</f>
        <v>20.526888888888887</v>
      </c>
      <c r="E59" s="98">
        <f xml:space="preserve"> (-6 / 60) + (21.21 / 3600)</f>
        <v>-9.4108333333333336E-2</v>
      </c>
      <c r="F59" s="98">
        <f xml:space="preserve"> 12 + (12 / 60) + (56.76 / 3600)</f>
        <v>12.215766666666665</v>
      </c>
      <c r="G59" s="98">
        <f xml:space="preserve"> (-3 / 60) + (14.25 / 3600)</f>
        <v>-4.6041666666666668E-2</v>
      </c>
      <c r="H59" s="98">
        <f xml:space="preserve"> 0 + (49 / 60) + (38.56 / 3600)</f>
        <v>0.82737777777777777</v>
      </c>
      <c r="I59" s="98">
        <f xml:space="preserve"> (6 / 60) + (46.37 / 3600)</f>
        <v>0.11288055555555557</v>
      </c>
      <c r="J59" s="98">
        <f xml:space="preserve"> -10 + (34 / 60) + (47.84 / 3600)</f>
        <v>-9.4200444444444447</v>
      </c>
      <c r="K59" s="98">
        <f xml:space="preserve"> (15 / 60) + (19.22 / 3600)</f>
        <v>0.25533888888888889</v>
      </c>
      <c r="L59" s="98">
        <f xml:space="preserve"> -19 + (50 / 60) + (15.27 / 3600)</f>
        <v>-18.162425000000002</v>
      </c>
      <c r="M59" s="98">
        <f xml:space="preserve"> (14 / 60) + (19.09 / 3600)</f>
        <v>0.2386361111111111</v>
      </c>
      <c r="N59" s="98">
        <f xml:space="preserve"> -23 + (25 / 60) + (56 / 3600)</f>
        <v>-22.567777777777778</v>
      </c>
      <c r="O59" s="98">
        <f xml:space="preserve"> (2 / 60) + (14.76 / 3600)</f>
        <v>3.7433333333333332E-2</v>
      </c>
    </row>
    <row r="60" spans="3:15" x14ac:dyDescent="0.35">
      <c r="C60" s="103">
        <v>21</v>
      </c>
      <c r="D60" s="98">
        <f xml:space="preserve"> 20 + (19 / 60) + (57.78 / 3600)</f>
        <v>20.332716666666666</v>
      </c>
      <c r="E60" s="98">
        <f xml:space="preserve"> (-6 / 60) + (24.02 / 3600)</f>
        <v>-9.3327777777777787E-2</v>
      </c>
      <c r="F60" s="98">
        <f xml:space="preserve"> 11 + (52 / 60) + (56.73 / 3600)</f>
        <v>11.882425000000001</v>
      </c>
      <c r="G60" s="98">
        <f xml:space="preserve"> (-2 / 60) + (59.4 / 3600)</f>
        <v>-1.6833333333333332E-2</v>
      </c>
      <c r="H60" s="98">
        <f xml:space="preserve"> 0 + (26 / 60) + (19.15 / 3600)</f>
        <v>0.43865277777777778</v>
      </c>
      <c r="I60" s="98">
        <f xml:space="preserve"> (7 / 60) + (7.61 / 3600)</f>
        <v>0.11878055555555556</v>
      </c>
      <c r="J60" s="98">
        <f xml:space="preserve"> -10 + (56 / 60) + (7.73 / 3600)</f>
        <v>-9.0645194444444446</v>
      </c>
      <c r="K60" s="98">
        <f xml:space="preserve"> (15 / 60) + (28.88 / 3600)</f>
        <v>0.25802222222222221</v>
      </c>
      <c r="L60" s="98">
        <f xml:space="preserve"> -20 + (3 / 60) + (25.89 / 3600)</f>
        <v>-19.942808333333332</v>
      </c>
      <c r="M60" s="98">
        <f xml:space="preserve"> (14 / 60) + (3.97 / 3600)</f>
        <v>0.23443611111111112</v>
      </c>
      <c r="N60" s="98">
        <f xml:space="preserve"> -23 + (26 / 60) + (9.44 / 3600)</f>
        <v>-22.564044444444445</v>
      </c>
      <c r="O60" s="98">
        <f xml:space="preserve"> (1 / 60) + (44.94 / 3600)</f>
        <v>2.9149999999999999E-2</v>
      </c>
    </row>
    <row r="61" spans="3:15" x14ac:dyDescent="0.35">
      <c r="C61" s="103">
        <v>22</v>
      </c>
      <c r="D61" s="98">
        <f xml:space="preserve"> 20 + (7 / 60) + (58.33 / 3600)</f>
        <v>20.132869444444445</v>
      </c>
      <c r="E61" s="98">
        <f xml:space="preserve"> (-6 / 60) + (26.25 / 3600)</f>
        <v>-9.2708333333333337E-2</v>
      </c>
      <c r="F61" s="98">
        <f xml:space="preserve"> 11 + (32 / 60) + (45.42 / 3600)</f>
        <v>11.545949999999999</v>
      </c>
      <c r="G61" s="98">
        <f xml:space="preserve"> (-2 / 60) + (44.1 / 3600)</f>
        <v>-2.1083333333333332E-2</v>
      </c>
      <c r="H61" s="98">
        <f xml:space="preserve"> 0 + (2 / 60) + (58.58 / 3600)</f>
        <v>4.9605555555555556E-2</v>
      </c>
      <c r="I61" s="98">
        <f xml:space="preserve"> (7 / 60) + (28.75 / 3600)</f>
        <v>0.12465277777777778</v>
      </c>
      <c r="J61" s="98">
        <f xml:space="preserve"> -11 + (17 / 60) + (17.83 / 3600)</f>
        <v>-10.711713888888889</v>
      </c>
      <c r="K61" s="98">
        <f xml:space="preserve"> (15 / 60) + (37.86 / 3600)</f>
        <v>0.26051666666666667</v>
      </c>
      <c r="L61" s="98">
        <f xml:space="preserve"> -20 + (16 / 60) + (14.49 / 3600)</f>
        <v>-19.729308333333336</v>
      </c>
      <c r="M61" s="98">
        <f xml:space="preserve"> (13 / 60) + (48.05 / 3600)</f>
        <v>0.23001388888888891</v>
      </c>
      <c r="N61" s="98">
        <f xml:space="preserve"> -23 + (25 / 60) + (54.63 / 3600)</f>
        <v>-22.568158333333333</v>
      </c>
      <c r="O61" s="98">
        <f xml:space="preserve"> (1 / 60) + (15.08 / 3600)</f>
        <v>2.0855555555555554E-2</v>
      </c>
    </row>
    <row r="62" spans="3:15" x14ac:dyDescent="0.35">
      <c r="C62" s="103">
        <v>23</v>
      </c>
      <c r="D62" s="98">
        <f xml:space="preserve"> 19 + (55 / 60) + (38.71 / 3600)</f>
        <v>19.927419444444446</v>
      </c>
      <c r="E62" s="98">
        <f xml:space="preserve"> (-6 / 60) + (27.9 / 3600)</f>
        <v>-9.2249999999999999E-2</v>
      </c>
      <c r="F62" s="98">
        <f xml:space="preserve"> 11 + (12 / 60) + (23.17 / 3600)</f>
        <v>11.20643611111111</v>
      </c>
      <c r="G62" s="98">
        <f xml:space="preserve"> (-2 / 60) + (28.35 / 3600)</f>
        <v>-2.5458333333333333E-2</v>
      </c>
      <c r="H62" s="99">
        <f xml:space="preserve"> 0 + (20 / 60) + (22.82 / 3600)</f>
        <v>0.33967222222222221</v>
      </c>
      <c r="I62" s="98">
        <f xml:space="preserve"> (7 / 60) + (49.78 / 3600)</f>
        <v>0.13049444444444444</v>
      </c>
      <c r="J62" s="98">
        <f xml:space="preserve"> -11 + (38 / 60) + (17.77 / 3600)</f>
        <v>-10.361730555555557</v>
      </c>
      <c r="K62" s="98">
        <f xml:space="preserve"> (15 / 60) + (46.16 / 3600)</f>
        <v>0.26282222222222223</v>
      </c>
      <c r="L62" s="98">
        <f xml:space="preserve"> -20 + (28 / 60) + (40.73 / 3600)</f>
        <v>-19.522019444444446</v>
      </c>
      <c r="M62" s="98">
        <f xml:space="preserve"> (13 / 60) + (31.35 / 3600)</f>
        <v>0.22537500000000002</v>
      </c>
      <c r="N62" s="98">
        <f xml:space="preserve"> -23 + (25 / 60) + (11.58 / 3600)</f>
        <v>-22.580116666666665</v>
      </c>
      <c r="O62" s="98">
        <f xml:space="preserve"> (0 / 60) + (45.21 / 3600)</f>
        <v>1.2558333333333333E-2</v>
      </c>
    </row>
    <row r="63" spans="3:15" x14ac:dyDescent="0.35">
      <c r="C63" s="103">
        <v>24</v>
      </c>
      <c r="D63" s="98">
        <f xml:space="preserve"> 19 + (42 / 60) + (59.17 / 3600)</f>
        <v>19.716436111111111</v>
      </c>
      <c r="E63" s="98">
        <f xml:space="preserve"> (-6 / 60) + (28.96 / 3600)</f>
        <v>-9.1955555555555568E-2</v>
      </c>
      <c r="F63" s="98">
        <f xml:space="preserve"> 10 + (51 / 60) + (50.28 / 3600)</f>
        <v>10.863966666666666</v>
      </c>
      <c r="G63" s="98">
        <f xml:space="preserve"> (-2 / 60) + (12.18 / 3600)</f>
        <v>-2.9950000000000001E-2</v>
      </c>
      <c r="H63" s="99">
        <f xml:space="preserve"> 0 + (43 / 60) + (44.7 / 3600)</f>
        <v>0.72908333333333331</v>
      </c>
      <c r="I63" s="98">
        <f xml:space="preserve"> (8 / 60) + (10.67 / 3600)</f>
        <v>0.13629722222222221</v>
      </c>
      <c r="J63" s="98">
        <f xml:space="preserve"> -11 + (59 / 60) + (7.13 / 3600)</f>
        <v>-10.014686111111113</v>
      </c>
      <c r="K63" s="98">
        <f xml:space="preserve"> (15 / 60) + (53.76 / 3600)</f>
        <v>0.26493333333333335</v>
      </c>
      <c r="L63" s="98">
        <f xml:space="preserve"> -20 + (40 / 60) + (44.24 / 3600)</f>
        <v>-19.321044444444443</v>
      </c>
      <c r="M63" s="98">
        <f xml:space="preserve"> (13 / 60) + (13.87 / 3600)</f>
        <v>0.22051944444444446</v>
      </c>
      <c r="N63" s="98">
        <f xml:space="preserve"> -23 + (24 / 60) + (0.28 / 3600)</f>
        <v>-22.599922222222222</v>
      </c>
      <c r="O63" s="98">
        <f xml:space="preserve"> (0 / 60) + (15.39 / 3600)</f>
        <v>4.2750000000000002E-3</v>
      </c>
    </row>
    <row r="64" spans="3:15" x14ac:dyDescent="0.35">
      <c r="C64" s="103">
        <v>25</v>
      </c>
      <c r="D64" s="98">
        <f xml:space="preserve"> 19 + (29 / 60) + (59.98 / 3600)</f>
        <v>19.499994444444447</v>
      </c>
      <c r="E64" s="98">
        <f xml:space="preserve"> (-6 / 60) + (29.44 / 3600)</f>
        <v>-9.1822222222222222E-2</v>
      </c>
      <c r="F64" s="98">
        <f xml:space="preserve"> 10 + (31 / 60) + (7.07 / 3600)</f>
        <v>10.518630555555557</v>
      </c>
      <c r="G64" s="98">
        <f xml:space="preserve"> (-1 / 60) + (55.59 / 3600)</f>
        <v>-1.2249999999999987E-3</v>
      </c>
      <c r="H64" s="98">
        <f xml:space="preserve"> -1 + (7 / 60) + (6.72 / 3600)</f>
        <v>-0.88146666666666662</v>
      </c>
      <c r="I64" s="98">
        <f xml:space="preserve"> (8 / 60) + (31.4 / 3600)</f>
        <v>0.14205555555555555</v>
      </c>
      <c r="J64" s="98">
        <f xml:space="preserve"> -12 + (19 / 60) + (45.52 / 3600)</f>
        <v>-11.67068888888889</v>
      </c>
      <c r="K64" s="98">
        <f xml:space="preserve"> (16 / 60) + (0.65 / 3600)</f>
        <v>0.26684722222222224</v>
      </c>
      <c r="L64" s="98">
        <f xml:space="preserve"> -20 + (52 / 60) + (24.7 / 3600)</f>
        <v>-19.126472222222223</v>
      </c>
      <c r="M64" s="98">
        <f xml:space="preserve"> (12 / 60) + (55.64 / 3600)</f>
        <v>0.21545555555555557</v>
      </c>
      <c r="N64" s="98">
        <f xml:space="preserve"> -23 + (22 / 60) + (20.76 / 3600)</f>
        <v>-22.627566666666667</v>
      </c>
      <c r="O64" s="99">
        <f xml:space="preserve"> (0 / 60) + (14.37 / 3600)</f>
        <v>3.9916666666666668E-3</v>
      </c>
    </row>
    <row r="65" spans="3:15" x14ac:dyDescent="0.35">
      <c r="C65" s="103">
        <v>26</v>
      </c>
      <c r="D65" s="98">
        <f xml:space="preserve"> 19 + (16 / 60) + (41.41 / 3600)</f>
        <v>19.278169444444444</v>
      </c>
      <c r="E65" s="98">
        <f xml:space="preserve"> (-6 / 60) + (29.32 / 3600)</f>
        <v>-9.1855555555555565E-2</v>
      </c>
      <c r="F65" s="98">
        <f xml:space="preserve"> 10 + (10 / 60) + (13.87 / 3600)</f>
        <v>10.170519444444444</v>
      </c>
      <c r="G65" s="98">
        <f xml:space="preserve"> (-1 / 60) + (38.61 / 3600)</f>
        <v>-5.9416666666666663E-3</v>
      </c>
      <c r="H65" s="98">
        <f xml:space="preserve"> -1 + (30 / 60) + (28.54 / 3600)</f>
        <v>-0.49207222222222224</v>
      </c>
      <c r="I65" s="98">
        <f xml:space="preserve"> (8 / 60) + (51.96 / 3600)</f>
        <v>0.14776666666666666</v>
      </c>
      <c r="J65" s="98">
        <f xml:space="preserve"> -12 + (40 / 60) + (12.55 / 3600)</f>
        <v>-11.329847222222222</v>
      </c>
      <c r="K65" s="98">
        <f xml:space="preserve"> (16 / 60) + (6.81 / 3600)</f>
        <v>0.26855833333333334</v>
      </c>
      <c r="L65" s="98">
        <f xml:space="preserve"> -21 + (3 / 60) + (41.78 / 3600)</f>
        <v>-20.938394444444445</v>
      </c>
      <c r="M65" s="98">
        <f xml:space="preserve"> (12 / 60) + (36.66 / 3600)</f>
        <v>0.21018333333333333</v>
      </c>
      <c r="N65" s="98">
        <f xml:space="preserve"> -23 + (20 / 60) + (13.08 / 3600)</f>
        <v>-22.663033333333335</v>
      </c>
      <c r="O65" s="99">
        <f xml:space="preserve"> (0 / 60) + (44.03 / 3600)</f>
        <v>1.2230555555555555E-2</v>
      </c>
    </row>
    <row r="66" spans="3:15" x14ac:dyDescent="0.35">
      <c r="C66" s="103">
        <v>27</v>
      </c>
      <c r="D66" s="98">
        <f xml:space="preserve"> 19 + (3 / 60) + (3.72 / 3600)</f>
        <v>19.051033333333333</v>
      </c>
      <c r="E66" s="98">
        <f xml:space="preserve"> (-6 / 60) + (28.59 / 3600)</f>
        <v>-9.2058333333333339E-2</v>
      </c>
      <c r="F66" s="98">
        <f xml:space="preserve"> 9 + (49 / 60) + (10.99 / 3600)</f>
        <v>9.8197194444444449</v>
      </c>
      <c r="G66" s="98">
        <f xml:space="preserve"> (-1 / 60) + (21.24 / 3600)</f>
        <v>-1.0766666666666667E-2</v>
      </c>
      <c r="H66" s="98">
        <f xml:space="preserve"> -1 + (53 / 60) + (49.82 / 3600)</f>
        <v>-0.10282777777777781</v>
      </c>
      <c r="I66" s="98">
        <f xml:space="preserve"> (9 / 60) + (12.31 / 3600)</f>
        <v>0.15341944444444444</v>
      </c>
      <c r="J66" s="98">
        <f xml:space="preserve"> -13 + (0 / 60) + (27.8 / 3600)</f>
        <v>-12.992277777777778</v>
      </c>
      <c r="K66" s="98">
        <f xml:space="preserve"> (16 / 60) + (12.23 / 3600)</f>
        <v>0.27006388888888888</v>
      </c>
      <c r="L66" s="98">
        <f xml:space="preserve"> -21 + (14 / 60) + (35.13 / 3600)</f>
        <v>-20.756908333333332</v>
      </c>
      <c r="M66" s="98">
        <f xml:space="preserve"> (12 / 60) + (16.95 / 3600)</f>
        <v>0.20470833333333335</v>
      </c>
      <c r="N66" s="98">
        <f xml:space="preserve"> -23 + (17 / 60) + (37.28 / 3600)</f>
        <v>-22.706311111111109</v>
      </c>
      <c r="O66" s="98">
        <f xml:space="preserve"> (-1 / 60) + (13.55 / 3600)</f>
        <v>-1.2902777777777777E-2</v>
      </c>
    </row>
    <row r="67" spans="3:15" x14ac:dyDescent="0.35">
      <c r="C67" s="103">
        <v>28</v>
      </c>
      <c r="D67" s="98">
        <f xml:space="preserve"> 18 + (49 / 60) + (7.18 / 3600)</f>
        <v>18.818661111111112</v>
      </c>
      <c r="E67" s="98">
        <f xml:space="preserve"> (-6 / 60) + (27.27 / 3600)</f>
        <v>-9.2425000000000007E-2</v>
      </c>
      <c r="F67" s="98">
        <f xml:space="preserve"> 9 + (27 / 60) + (58.75 / 3600)</f>
        <v>9.4663194444444443</v>
      </c>
      <c r="G67" s="98">
        <f xml:space="preserve"> (-1 / 60) + (3.5 / 3600)</f>
        <v>-1.5694444444444445E-2</v>
      </c>
      <c r="H67" s="98">
        <f xml:space="preserve"> -2 + (17 / 60) + (10.2 / 3600)</f>
        <v>-1.7138333333333335</v>
      </c>
      <c r="I67" s="98">
        <f xml:space="preserve"> (9 / 60) + (32.44 / 3600)</f>
        <v>0.1590111111111111</v>
      </c>
      <c r="J67" s="98">
        <f xml:space="preserve"> -13 + (20 / 60) + (30.89 / 3600)</f>
        <v>-12.65808611111111</v>
      </c>
      <c r="K67" s="98">
        <f xml:space="preserve"> (16 / 60) + (16.9 / 3600)</f>
        <v>0.27136111111111111</v>
      </c>
      <c r="L67" s="98">
        <f xml:space="preserve"> -21 + (25 / 60) + (4.46 / 3600)</f>
        <v>-20.582094444444444</v>
      </c>
      <c r="M67" s="98">
        <f xml:space="preserve"> (11 / 60) + (56.53 / 3600)</f>
        <v>0.19903611111111111</v>
      </c>
      <c r="N67" s="98">
        <f xml:space="preserve"> -23 + (14 / 60) + (33.43 / 3600)</f>
        <v>-22.757380555555553</v>
      </c>
      <c r="O67" s="98">
        <f xml:space="preserve"> (-1 / 60) + (42.9 / 3600)</f>
        <v>-4.7500000000000007E-3</v>
      </c>
    </row>
    <row r="68" spans="3:15" x14ac:dyDescent="0.35">
      <c r="C68" s="103">
        <v>29</v>
      </c>
      <c r="D68" s="98">
        <f xml:space="preserve"> 18 + (34 / 60) + (52.08 / 3600)</f>
        <v>18.581133333333334</v>
      </c>
      <c r="E68" s="98">
        <f xml:space="preserve"> (-6 / 60) + (25.34 / 3600)</f>
        <v>-9.2961111111111119E-2</v>
      </c>
      <c r="F68" s="98">
        <f xml:space="preserve"> 9 + (6 / 60) + (37.48 / 3600)</f>
        <v>9.1104111111111106</v>
      </c>
      <c r="G68" s="99">
        <f xml:space="preserve"> (0 / 60) + (45.41 / 3600)</f>
        <v>1.2613888888888888E-2</v>
      </c>
      <c r="H68" s="98">
        <f xml:space="preserve"> -2 + (40 / 60) + (29.34 / 3600)</f>
        <v>-1.3251833333333334</v>
      </c>
      <c r="I68" s="98">
        <f xml:space="preserve"> (9 / 60) + (52.33 / 3600)</f>
        <v>0.16453611111111111</v>
      </c>
      <c r="J68" s="98">
        <f xml:space="preserve"> -13 + (40 / 60) + (21.41 / 3600)</f>
        <v>-12.327386111111112</v>
      </c>
      <c r="K68" s="98">
        <f xml:space="preserve"> (16 / 60) + (20.81 / 3600)</f>
        <v>0.27244722222222223</v>
      </c>
      <c r="L68" s="98">
        <f xml:space="preserve"> -21 + (35 / 60) + (9.45 / 3600)</f>
        <v>-20.41404166666667</v>
      </c>
      <c r="M68" s="98">
        <f xml:space="preserve"> (11 / 60) + (35.42 / 3600)</f>
        <v>0.19317222222222222</v>
      </c>
      <c r="N68" s="98">
        <f xml:space="preserve"> -23 + (11 / 60) + (1.63 / 3600)</f>
        <v>-22.816213888888889</v>
      </c>
      <c r="O68" s="98">
        <f xml:space="preserve"> (-2 / 60) + (12.05 / 3600)</f>
        <v>-2.9986111111111109E-2</v>
      </c>
    </row>
    <row r="69" spans="3:15" x14ac:dyDescent="0.35">
      <c r="C69" s="103">
        <v>30</v>
      </c>
      <c r="D69" s="98">
        <f xml:space="preserve"> 18 + (20 / 60) + (18.7 / 3600)</f>
        <v>18.338527777777777</v>
      </c>
      <c r="E69" s="98">
        <f xml:space="preserve"> (-6 / 60) + (22.8 / 3600)</f>
        <v>-9.3666666666666676E-2</v>
      </c>
      <c r="F69" s="98">
        <f xml:space="preserve"> 8 + (45 / 60) + (7.49 / 3600)</f>
        <v>8.7520805555555548</v>
      </c>
      <c r="G69" s="99">
        <f xml:space="preserve"> (0 / 60) + (26.98 / 3600)</f>
        <v>7.4944444444444442E-3</v>
      </c>
      <c r="H69" s="98">
        <f xml:space="preserve"> -3 + (3 / 60) + (46.89 / 3600)</f>
        <v>-2.9369750000000003</v>
      </c>
      <c r="I69" s="98">
        <f xml:space="preserve"> (10 / 60) + (11.96 / 3600)</f>
        <v>0.16998888888888888</v>
      </c>
      <c r="J69" s="98">
        <f xml:space="preserve"> -13 + (59 / 60) + (58.94 / 3600)</f>
        <v>-12.000294444444446</v>
      </c>
      <c r="K69" s="98">
        <f xml:space="preserve"> (16 / 60) + (23.94 / 3600)</f>
        <v>0.27331666666666665</v>
      </c>
      <c r="L69" s="98">
        <f xml:space="preserve"> -21 + (44 / 60) + (49.8 / 3600)</f>
        <v>-20.252833333333331</v>
      </c>
      <c r="M69" s="98">
        <f xml:space="preserve"> (11 / 60) + (13.63 / 3600)</f>
        <v>0.18711944444444442</v>
      </c>
      <c r="N69" s="98">
        <f xml:space="preserve"> -23 + (7 / 60) + (1.98 / 3600)</f>
        <v>-22.882783333333332</v>
      </c>
      <c r="O69" s="98">
        <f xml:space="preserve"> (-2 / 60) + (40.97 / 3600)</f>
        <v>-2.1952777777777779E-2</v>
      </c>
    </row>
    <row r="70" spans="3:15" x14ac:dyDescent="0.35">
      <c r="C70" s="103">
        <v>31</v>
      </c>
      <c r="D70" s="98">
        <f xml:space="preserve"> 18 + (5 / 60) + (27.31 / 3600)</f>
        <v>18.090919444444442</v>
      </c>
      <c r="E70" s="98">
        <f xml:space="preserve"> (-6 / 60) + (19.66 / 3600)</f>
        <v>-9.4538888888888895E-2</v>
      </c>
      <c r="F70" s="98">
        <f xml:space="preserve"> 8 + (23 / 60) + (29.11 / 3600)</f>
        <v>8.3914194444444448</v>
      </c>
      <c r="G70" s="99">
        <f xml:space="preserve"> (0 / 60) + (8.23 / 3600)</f>
        <v>2.2861111111111112E-3</v>
      </c>
      <c r="H70" s="98"/>
      <c r="I70" s="98"/>
      <c r="J70" s="98">
        <f xml:space="preserve"> -14 + (19 / 60) + (23.1 / 3600)</f>
        <v>-13.676916666666667</v>
      </c>
      <c r="K70" s="98">
        <f xml:space="preserve"> (16 / 60) + (26.28 / 3600)</f>
        <v>0.27396666666666664</v>
      </c>
      <c r="L70" s="98"/>
      <c r="M70" s="98"/>
      <c r="N70" s="98">
        <f xml:space="preserve"> -23 + (2 / 60) + (34.58 / 3600)</f>
        <v>-22.957061111111109</v>
      </c>
      <c r="O70" s="98">
        <f xml:space="preserve"> (-3 / 60) + (9.61 / 3600)</f>
        <v>-4.7330555555555556E-2</v>
      </c>
    </row>
  </sheetData>
  <mergeCells count="14">
    <mergeCell ref="N3:O3"/>
    <mergeCell ref="C38:C39"/>
    <mergeCell ref="D38:E38"/>
    <mergeCell ref="F38:G38"/>
    <mergeCell ref="H38:I38"/>
    <mergeCell ref="J38:K38"/>
    <mergeCell ref="L38:M38"/>
    <mergeCell ref="N38:O38"/>
    <mergeCell ref="C3:C4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60DD-0364-4961-92AC-4366302DA539}">
  <dimension ref="B2:N72"/>
  <sheetViews>
    <sheetView topLeftCell="A56" workbookViewId="0">
      <selection activeCell="C2" sqref="C2"/>
    </sheetView>
  </sheetViews>
  <sheetFormatPr defaultRowHeight="14.5" x14ac:dyDescent="0.35"/>
  <cols>
    <col min="3" max="3" width="12" customWidth="1"/>
    <col min="7" max="7" width="10.7265625" customWidth="1"/>
    <col min="8" max="8" width="10.6328125" customWidth="1"/>
    <col min="9" max="9" width="10.453125" customWidth="1"/>
    <col min="10" max="10" width="10.54296875" customWidth="1"/>
    <col min="11" max="11" width="12.1796875" customWidth="1"/>
    <col min="12" max="12" width="10.26953125" customWidth="1"/>
    <col min="13" max="13" width="11.36328125" customWidth="1"/>
    <col min="14" max="14" width="11.1796875" customWidth="1"/>
  </cols>
  <sheetData>
    <row r="2" spans="2:14" ht="15" thickBot="1" x14ac:dyDescent="0.4"/>
    <row r="3" spans="2:14" ht="16" thickBot="1" x14ac:dyDescent="0.4">
      <c r="B3" s="15"/>
      <c r="C3" s="46" t="s">
        <v>11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8"/>
    </row>
    <row r="4" spans="2:14" ht="16" thickBot="1" x14ac:dyDescent="0.4">
      <c r="B4" s="15"/>
      <c r="C4" s="14" t="s">
        <v>94</v>
      </c>
      <c r="D4" s="14" t="s">
        <v>95</v>
      </c>
      <c r="E4" s="46" t="s">
        <v>96</v>
      </c>
      <c r="F4" s="48"/>
      <c r="G4" s="14" t="s">
        <v>97</v>
      </c>
      <c r="H4" s="14" t="s">
        <v>98</v>
      </c>
      <c r="I4" s="14" t="s">
        <v>99</v>
      </c>
      <c r="J4" s="14" t="s">
        <v>100</v>
      </c>
      <c r="K4" s="14" t="s">
        <v>101</v>
      </c>
      <c r="L4" s="14" t="s">
        <v>102</v>
      </c>
      <c r="M4" s="14" t="s">
        <v>103</v>
      </c>
      <c r="N4" s="14" t="s">
        <v>104</v>
      </c>
    </row>
    <row r="5" spans="2:14" ht="16" thickBot="1" x14ac:dyDescent="0.4">
      <c r="C5" s="16"/>
      <c r="D5" s="16" t="s">
        <v>105</v>
      </c>
      <c r="E5" s="16" t="s">
        <v>106</v>
      </c>
      <c r="F5" s="16" t="s">
        <v>107</v>
      </c>
      <c r="G5" s="16" t="s">
        <v>108</v>
      </c>
      <c r="H5" s="16" t="s">
        <v>109</v>
      </c>
      <c r="I5" s="16" t="s">
        <v>2</v>
      </c>
      <c r="J5" s="16" t="s">
        <v>5</v>
      </c>
      <c r="K5" s="16" t="s">
        <v>110</v>
      </c>
      <c r="L5" s="16" t="s">
        <v>111</v>
      </c>
      <c r="M5" s="16" t="s">
        <v>112</v>
      </c>
      <c r="N5" s="16" t="s">
        <v>113</v>
      </c>
    </row>
    <row r="6" spans="2:14" ht="16" thickBot="1" x14ac:dyDescent="0.4">
      <c r="C6" s="13">
        <v>-180</v>
      </c>
      <c r="D6" s="13">
        <v>1884298</v>
      </c>
      <c r="E6" s="13">
        <v>6</v>
      </c>
      <c r="F6" s="13">
        <v>0</v>
      </c>
      <c r="G6" s="13">
        <v>255.21420000000001</v>
      </c>
      <c r="H6" s="13">
        <v>358.8716</v>
      </c>
      <c r="I6" s="13" t="s">
        <v>114</v>
      </c>
      <c r="J6" s="13">
        <v>21.440200000000001</v>
      </c>
      <c r="K6" s="13">
        <v>345.66969999999998</v>
      </c>
      <c r="L6" s="13">
        <v>13.8454</v>
      </c>
      <c r="M6" s="13">
        <v>23.639324999999999</v>
      </c>
      <c r="N6" s="13">
        <v>321.97550000000001</v>
      </c>
    </row>
    <row r="7" spans="2:14" ht="16" thickBot="1" x14ac:dyDescent="0.4">
      <c r="C7" s="13">
        <v>-150</v>
      </c>
      <c r="D7" s="13">
        <v>1894929</v>
      </c>
      <c r="E7" s="13">
        <v>4</v>
      </c>
      <c r="F7" s="13">
        <v>1</v>
      </c>
      <c r="G7" s="13">
        <v>293.62860000000001</v>
      </c>
      <c r="H7" s="13">
        <v>36.7896</v>
      </c>
      <c r="I7" s="13">
        <v>307.34230000000002</v>
      </c>
      <c r="J7" s="13">
        <v>315.303</v>
      </c>
      <c r="K7" s="13">
        <v>226.92250000000001</v>
      </c>
      <c r="L7" s="13" t="s">
        <v>115</v>
      </c>
      <c r="M7" s="13">
        <v>23.635645</v>
      </c>
      <c r="N7" s="13">
        <v>0.3891</v>
      </c>
    </row>
    <row r="8" spans="2:14" ht="16" thickBot="1" x14ac:dyDescent="0.4">
      <c r="C8" s="13">
        <v>-120</v>
      </c>
      <c r="D8" s="13">
        <v>1905560</v>
      </c>
      <c r="E8" s="13">
        <v>2</v>
      </c>
      <c r="F8" s="13">
        <v>2</v>
      </c>
      <c r="G8" s="13" t="s">
        <v>116</v>
      </c>
      <c r="H8" s="13">
        <v>74.707700000000003</v>
      </c>
      <c r="I8" s="13">
        <v>345.62540000000001</v>
      </c>
      <c r="J8" s="13">
        <v>249.16720000000001</v>
      </c>
      <c r="K8" s="13">
        <v>108.1747</v>
      </c>
      <c r="L8" s="13">
        <v>13.5829</v>
      </c>
      <c r="M8" s="13">
        <v>23.631962000000001</v>
      </c>
      <c r="N8" s="13">
        <v>38.802900000000001</v>
      </c>
    </row>
    <row r="9" spans="2:14" ht="16" thickBot="1" x14ac:dyDescent="0.4">
      <c r="C9" s="13">
        <v>-90</v>
      </c>
      <c r="D9" s="13">
        <v>1916191</v>
      </c>
      <c r="E9" s="13">
        <v>0</v>
      </c>
      <c r="F9" s="13">
        <v>3</v>
      </c>
      <c r="G9" s="13" t="s">
        <v>117</v>
      </c>
      <c r="H9" s="13">
        <v>112.62560000000001</v>
      </c>
      <c r="I9" s="13">
        <v>23.908200000000001</v>
      </c>
      <c r="J9" s="13">
        <v>183.03270000000001</v>
      </c>
      <c r="K9" s="13">
        <v>349.4264</v>
      </c>
      <c r="L9" s="13">
        <v>13.4512</v>
      </c>
      <c r="M9" s="13">
        <v>23.628274999999999</v>
      </c>
      <c r="N9" s="13">
        <v>77.216700000000003</v>
      </c>
    </row>
    <row r="10" spans="2:14" ht="16" thickBot="1" x14ac:dyDescent="0.4">
      <c r="C10" s="13">
        <v>-60</v>
      </c>
      <c r="D10" s="13">
        <v>1926822</v>
      </c>
      <c r="E10" s="13">
        <v>5</v>
      </c>
      <c r="F10" s="13">
        <v>4</v>
      </c>
      <c r="G10" s="13" t="s">
        <v>118</v>
      </c>
      <c r="H10" s="13">
        <v>150.54349999999999</v>
      </c>
      <c r="I10" s="13">
        <v>62.1907</v>
      </c>
      <c r="J10" s="13">
        <v>116.8997</v>
      </c>
      <c r="K10" s="13">
        <v>230.67750000000001</v>
      </c>
      <c r="L10" s="13">
        <v>13.3192</v>
      </c>
      <c r="M10" s="13">
        <v>23.624583999999999</v>
      </c>
      <c r="N10" s="13">
        <v>115.6305</v>
      </c>
    </row>
    <row r="11" spans="2:14" ht="16" thickBot="1" x14ac:dyDescent="0.4">
      <c r="C11" s="13">
        <v>-30</v>
      </c>
      <c r="D11" s="13">
        <v>1937453</v>
      </c>
      <c r="E11" s="13">
        <v>3</v>
      </c>
      <c r="F11" s="13">
        <v>0</v>
      </c>
      <c r="G11" s="13">
        <v>87.286600000000007</v>
      </c>
      <c r="H11" s="13">
        <v>188.4614</v>
      </c>
      <c r="I11" s="13">
        <v>100.473</v>
      </c>
      <c r="J11" s="13">
        <v>50.768099999999997</v>
      </c>
      <c r="K11" s="13">
        <v>111.928</v>
      </c>
      <c r="L11" s="13">
        <v>13.1869</v>
      </c>
      <c r="M11" s="13">
        <v>23.620888999999998</v>
      </c>
      <c r="N11" s="13">
        <v>154.0445</v>
      </c>
    </row>
    <row r="12" spans="2:14" ht="16" thickBot="1" x14ac:dyDescent="0.4">
      <c r="C12" s="13">
        <v>0</v>
      </c>
      <c r="D12" s="13">
        <v>1948084</v>
      </c>
      <c r="E12" s="13">
        <v>1</v>
      </c>
      <c r="F12" s="13">
        <v>1</v>
      </c>
      <c r="G12" s="13">
        <v>125.7012</v>
      </c>
      <c r="H12" s="13">
        <v>226.37909999999999</v>
      </c>
      <c r="I12" s="13">
        <v>138.7551</v>
      </c>
      <c r="J12" s="13">
        <v>344.63780000000003</v>
      </c>
      <c r="K12" s="13">
        <v>353.17790000000002</v>
      </c>
      <c r="L12" s="13">
        <v>13.0543</v>
      </c>
      <c r="M12" s="13">
        <v>23.617190999999998</v>
      </c>
      <c r="N12" s="13">
        <v>192.45849999999999</v>
      </c>
    </row>
    <row r="13" spans="2:14" ht="16" thickBot="1" x14ac:dyDescent="0.4">
      <c r="C13" s="13">
        <v>30</v>
      </c>
      <c r="D13" s="13">
        <v>1958715</v>
      </c>
      <c r="E13" s="13">
        <v>6</v>
      </c>
      <c r="F13" s="13">
        <v>2</v>
      </c>
      <c r="G13" s="13">
        <v>164.11590000000001</v>
      </c>
      <c r="H13" s="13">
        <v>264.29689999999999</v>
      </c>
      <c r="I13" s="13">
        <v>177.0369</v>
      </c>
      <c r="J13" s="13">
        <v>278.50900000000001</v>
      </c>
      <c r="K13" s="13">
        <v>234.4273</v>
      </c>
      <c r="L13" s="13">
        <v>12.9214</v>
      </c>
      <c r="M13" s="13">
        <v>23.613489000000001</v>
      </c>
      <c r="N13" s="13">
        <v>230.8725</v>
      </c>
    </row>
    <row r="14" spans="2:14" ht="16" thickBot="1" x14ac:dyDescent="0.4">
      <c r="C14" s="13">
        <v>60</v>
      </c>
      <c r="D14" s="13">
        <v>1969346</v>
      </c>
      <c r="E14" s="13">
        <v>4</v>
      </c>
      <c r="F14" s="13">
        <v>3</v>
      </c>
      <c r="G14" s="13">
        <v>202.53059999999999</v>
      </c>
      <c r="H14" s="13">
        <v>302.21469999999999</v>
      </c>
      <c r="I14" s="13">
        <v>215.3185</v>
      </c>
      <c r="J14" s="13">
        <v>212.38159999999999</v>
      </c>
      <c r="K14" s="13">
        <v>115.67610000000001</v>
      </c>
      <c r="L14" s="13">
        <v>12.7883</v>
      </c>
      <c r="M14" s="13">
        <v>23.609783</v>
      </c>
      <c r="N14" s="13">
        <v>269.2867</v>
      </c>
    </row>
    <row r="15" spans="2:14" ht="16" thickBot="1" x14ac:dyDescent="0.4">
      <c r="C15" s="13">
        <v>90</v>
      </c>
      <c r="D15" s="13">
        <v>1979977</v>
      </c>
      <c r="E15" s="13">
        <v>2</v>
      </c>
      <c r="F15" s="13">
        <v>4</v>
      </c>
      <c r="G15" s="13">
        <v>240.94540000000001</v>
      </c>
      <c r="H15" s="13">
        <v>340.13249999999999</v>
      </c>
      <c r="I15" s="13">
        <v>253.59989999999999</v>
      </c>
      <c r="J15" s="13">
        <v>146.25569999999999</v>
      </c>
      <c r="K15" s="13">
        <v>356.92430000000002</v>
      </c>
      <c r="L15" s="13">
        <v>12.6548</v>
      </c>
      <c r="M15" s="13">
        <v>23.606074</v>
      </c>
      <c r="N15" s="13">
        <v>307.70089999999999</v>
      </c>
    </row>
    <row r="16" spans="2:14" ht="16" thickBot="1" x14ac:dyDescent="0.4">
      <c r="C16" s="13">
        <v>120</v>
      </c>
      <c r="D16" s="13">
        <v>1990608</v>
      </c>
      <c r="E16" s="13">
        <v>0</v>
      </c>
      <c r="F16" s="13">
        <v>0</v>
      </c>
      <c r="G16" s="13">
        <v>279.36020000000002</v>
      </c>
      <c r="H16" s="13">
        <v>18.0502</v>
      </c>
      <c r="I16" s="13">
        <v>291.88099999999997</v>
      </c>
      <c r="J16" s="13">
        <v>80.131100000000004</v>
      </c>
      <c r="K16" s="13">
        <v>238.172</v>
      </c>
      <c r="L16" s="13">
        <v>12.521100000000001</v>
      </c>
      <c r="M16" s="13">
        <v>23.602361999999999</v>
      </c>
      <c r="N16" s="13">
        <v>346.11509999999998</v>
      </c>
    </row>
    <row r="17" spans="3:14" ht="16" thickBot="1" x14ac:dyDescent="0.4">
      <c r="C17" s="13">
        <v>150</v>
      </c>
      <c r="D17" s="13">
        <v>2001239</v>
      </c>
      <c r="E17" s="13">
        <v>5</v>
      </c>
      <c r="F17" s="13">
        <v>1</v>
      </c>
      <c r="G17" s="13">
        <v>317.77510000000001</v>
      </c>
      <c r="H17" s="13">
        <v>55.968000000000004</v>
      </c>
      <c r="I17" s="13">
        <v>330.1619</v>
      </c>
      <c r="J17" s="13">
        <v>14.007999999999999</v>
      </c>
      <c r="K17" s="13">
        <v>119.4191</v>
      </c>
      <c r="L17" s="13">
        <v>12.3871</v>
      </c>
      <c r="M17" s="13">
        <v>23.598647</v>
      </c>
      <c r="N17" s="13">
        <v>24.529499999999999</v>
      </c>
    </row>
    <row r="18" spans="3:14" ht="16" thickBot="1" x14ac:dyDescent="0.4">
      <c r="C18" s="13">
        <v>180</v>
      </c>
      <c r="D18" s="13">
        <v>2011870</v>
      </c>
      <c r="E18" s="13">
        <v>3</v>
      </c>
      <c r="F18" s="13">
        <v>2</v>
      </c>
      <c r="G18" s="13">
        <v>356.19009999999997</v>
      </c>
      <c r="H18" s="13">
        <v>93.885599999999997</v>
      </c>
      <c r="I18" s="13">
        <v>8.4425000000000008</v>
      </c>
      <c r="J18" s="13">
        <v>307.88619999999997</v>
      </c>
      <c r="K18" s="13">
        <v>0.66559999999999997</v>
      </c>
      <c r="L18" s="13">
        <v>12.252800000000001</v>
      </c>
      <c r="M18" s="13">
        <v>23.594927999999999</v>
      </c>
      <c r="N18" s="13">
        <v>62.943899999999999</v>
      </c>
    </row>
    <row r="19" spans="3:14" ht="16" thickBot="1" x14ac:dyDescent="0.4">
      <c r="C19" s="13">
        <v>210</v>
      </c>
      <c r="D19" s="13">
        <v>2022501</v>
      </c>
      <c r="E19" s="13">
        <v>1</v>
      </c>
      <c r="F19" s="13">
        <v>3</v>
      </c>
      <c r="G19" s="13" t="s">
        <v>119</v>
      </c>
      <c r="H19" s="13">
        <v>131.80330000000001</v>
      </c>
      <c r="I19" s="13">
        <v>46.722900000000003</v>
      </c>
      <c r="J19" s="13">
        <v>241.76599999999999</v>
      </c>
      <c r="K19" s="13">
        <v>241.91149999999999</v>
      </c>
      <c r="L19" s="13">
        <v>12.1182</v>
      </c>
      <c r="M19" s="13">
        <v>23.591207000000001</v>
      </c>
      <c r="N19" s="13">
        <v>101.3583</v>
      </c>
    </row>
    <row r="20" spans="3:14" ht="16" thickBot="1" x14ac:dyDescent="0.4">
      <c r="C20" s="13">
        <v>240</v>
      </c>
      <c r="D20" s="13">
        <v>2033132</v>
      </c>
      <c r="E20" s="13">
        <v>6</v>
      </c>
      <c r="F20" s="13">
        <v>4</v>
      </c>
      <c r="G20" s="13">
        <v>73.020099999999999</v>
      </c>
      <c r="H20" s="13">
        <v>169.721</v>
      </c>
      <c r="I20" s="13">
        <v>83.003100000000003</v>
      </c>
      <c r="J20" s="13">
        <v>175.64709999999999</v>
      </c>
      <c r="K20" s="13">
        <v>123.1568</v>
      </c>
      <c r="L20" s="13">
        <v>11.9833</v>
      </c>
      <c r="M20" s="13">
        <v>23.587482000000001</v>
      </c>
      <c r="N20" s="13">
        <v>139.77289999999999</v>
      </c>
    </row>
    <row r="21" spans="3:14" ht="16" thickBot="1" x14ac:dyDescent="0.4">
      <c r="C21" s="13">
        <v>270</v>
      </c>
      <c r="D21" s="13">
        <v>2043763</v>
      </c>
      <c r="E21" s="13">
        <v>4</v>
      </c>
      <c r="F21" s="13">
        <v>0</v>
      </c>
      <c r="G21" s="13">
        <v>111.43519999999999</v>
      </c>
      <c r="H21" s="13">
        <v>207.6386</v>
      </c>
      <c r="I21" s="13">
        <v>123.283</v>
      </c>
      <c r="J21" s="13">
        <v>109.52970000000001</v>
      </c>
      <c r="K21" s="13">
        <v>4.4016000000000002</v>
      </c>
      <c r="L21" s="13">
        <v>11.848100000000001</v>
      </c>
      <c r="M21" s="13">
        <v>23.583753999999999</v>
      </c>
      <c r="N21" s="13">
        <v>178.1874</v>
      </c>
    </row>
    <row r="22" spans="3:14" ht="16" thickBot="1" x14ac:dyDescent="0.4">
      <c r="C22" s="13">
        <v>300</v>
      </c>
      <c r="D22" s="13">
        <v>2054394</v>
      </c>
      <c r="E22" s="13">
        <v>2</v>
      </c>
      <c r="F22" s="13">
        <v>1</v>
      </c>
      <c r="G22" s="13">
        <v>149.8503</v>
      </c>
      <c r="H22" s="13">
        <v>245.55609999999999</v>
      </c>
      <c r="I22" s="13">
        <v>161.56270000000001</v>
      </c>
      <c r="J22" s="13">
        <v>43.413699999999999</v>
      </c>
      <c r="K22" s="13">
        <v>245.64580000000001</v>
      </c>
      <c r="L22" s="13">
        <v>11.7126</v>
      </c>
      <c r="M22" s="13">
        <v>23.580024000000002</v>
      </c>
      <c r="N22" s="13">
        <v>216.60210000000001</v>
      </c>
    </row>
    <row r="23" spans="3:14" ht="16" thickBot="1" x14ac:dyDescent="0.4">
      <c r="C23" s="13">
        <v>330</v>
      </c>
      <c r="D23" s="13">
        <v>2065025</v>
      </c>
      <c r="E23" s="13">
        <v>0</v>
      </c>
      <c r="F23" s="13">
        <v>2</v>
      </c>
      <c r="G23" s="13">
        <v>188.2655</v>
      </c>
      <c r="H23" s="13">
        <v>283.47370000000001</v>
      </c>
      <c r="I23" s="13">
        <v>199.84209999999999</v>
      </c>
      <c r="J23" s="13">
        <v>337.29910000000001</v>
      </c>
      <c r="K23" s="13">
        <v>126.88939999999999</v>
      </c>
      <c r="L23" s="13">
        <v>11.5769</v>
      </c>
      <c r="M23" s="13">
        <v>23.57629</v>
      </c>
      <c r="N23" s="13">
        <v>255.01679999999999</v>
      </c>
    </row>
    <row r="24" spans="3:14" ht="16" thickBot="1" x14ac:dyDescent="0.4">
      <c r="C24" s="13">
        <v>360</v>
      </c>
      <c r="D24" s="13">
        <v>2075656</v>
      </c>
      <c r="E24" s="13">
        <v>5</v>
      </c>
      <c r="F24" s="13">
        <v>3</v>
      </c>
      <c r="G24" s="13">
        <v>226.6808</v>
      </c>
      <c r="H24" s="13">
        <v>321.39120000000003</v>
      </c>
      <c r="I24" s="13">
        <v>238.12129999999999</v>
      </c>
      <c r="J24" s="13">
        <v>271.18599999999998</v>
      </c>
      <c r="K24" s="13">
        <v>8.1325000000000003</v>
      </c>
      <c r="L24" s="13">
        <v>11.440799999999999</v>
      </c>
      <c r="M24" s="13">
        <v>23.572554</v>
      </c>
      <c r="N24" s="13">
        <v>293.4316</v>
      </c>
    </row>
    <row r="25" spans="3:14" ht="16" thickBot="1" x14ac:dyDescent="0.4">
      <c r="C25" s="13">
        <v>390</v>
      </c>
      <c r="D25" s="13">
        <v>2086287</v>
      </c>
      <c r="E25" s="13">
        <v>3</v>
      </c>
      <c r="F25" s="13">
        <v>4</v>
      </c>
      <c r="G25" s="13" t="s">
        <v>120</v>
      </c>
      <c r="H25" s="13">
        <v>359.30869999999999</v>
      </c>
      <c r="I25" s="13">
        <v>276.40030000000002</v>
      </c>
      <c r="J25" s="13">
        <v>205.07429999999999</v>
      </c>
      <c r="K25" s="13">
        <v>249.375</v>
      </c>
      <c r="L25" s="13">
        <v>11.304500000000001</v>
      </c>
      <c r="M25" s="13">
        <v>23.568816000000002</v>
      </c>
      <c r="N25" s="13">
        <v>331.84649999999999</v>
      </c>
    </row>
    <row r="26" spans="3:14" ht="16" thickBot="1" x14ac:dyDescent="0.4">
      <c r="C26" s="13">
        <v>420</v>
      </c>
      <c r="D26" s="13">
        <v>2096918</v>
      </c>
      <c r="E26" s="13">
        <v>1</v>
      </c>
      <c r="F26" s="13">
        <v>0</v>
      </c>
      <c r="G26" s="13">
        <v>303.51139999999998</v>
      </c>
      <c r="H26" s="13">
        <v>37.226199999999999</v>
      </c>
      <c r="I26" s="13">
        <v>314.67899999999997</v>
      </c>
      <c r="J26" s="13">
        <v>138.9641</v>
      </c>
      <c r="K26" s="13">
        <v>130.61689999999999</v>
      </c>
      <c r="L26" s="13">
        <v>11.167899999999999</v>
      </c>
      <c r="M26" s="13">
        <v>23.565073999999999</v>
      </c>
      <c r="N26" s="13">
        <v>10.2614</v>
      </c>
    </row>
    <row r="27" spans="3:14" ht="16" thickBot="1" x14ac:dyDescent="0.4">
      <c r="C27" s="13">
        <v>450</v>
      </c>
      <c r="D27" s="13">
        <v>2107549</v>
      </c>
      <c r="E27" s="13">
        <v>6</v>
      </c>
      <c r="F27" s="13">
        <v>1</v>
      </c>
      <c r="G27" s="13">
        <v>341.92680000000001</v>
      </c>
      <c r="H27" s="13">
        <v>75.143699999999995</v>
      </c>
      <c r="I27" s="13">
        <v>352.95749999999998</v>
      </c>
      <c r="J27" s="13">
        <v>72.8553</v>
      </c>
      <c r="K27" s="13">
        <v>11.8582</v>
      </c>
      <c r="L27" s="13">
        <v>11.031000000000001</v>
      </c>
      <c r="M27" s="13">
        <v>23.561330000000002</v>
      </c>
      <c r="N27" s="13">
        <v>48.676400000000001</v>
      </c>
    </row>
    <row r="28" spans="3:14" ht="16" thickBot="1" x14ac:dyDescent="0.4">
      <c r="C28" s="13">
        <v>480</v>
      </c>
      <c r="D28" s="13">
        <v>2118180</v>
      </c>
      <c r="E28" s="13">
        <v>4</v>
      </c>
      <c r="F28" s="13">
        <v>2</v>
      </c>
      <c r="G28" s="13">
        <v>20.342199999999998</v>
      </c>
      <c r="H28" s="13">
        <v>113.0611</v>
      </c>
      <c r="I28" s="13">
        <v>31.235800000000001</v>
      </c>
      <c r="J28" s="13">
        <v>6.7480000000000002</v>
      </c>
      <c r="K28" s="13">
        <v>253.09889999999999</v>
      </c>
      <c r="L28" s="13">
        <v>10.893800000000001</v>
      </c>
      <c r="M28" s="13">
        <v>23.557583999999999</v>
      </c>
      <c r="N28" s="13">
        <v>87.091399999999993</v>
      </c>
    </row>
    <row r="29" spans="3:14" ht="16" thickBot="1" x14ac:dyDescent="0.4">
      <c r="C29" s="13">
        <v>510</v>
      </c>
      <c r="D29" s="13">
        <v>2128811</v>
      </c>
      <c r="E29" s="13">
        <v>2</v>
      </c>
      <c r="F29" s="13">
        <v>3</v>
      </c>
      <c r="G29" s="13">
        <v>58.7577</v>
      </c>
      <c r="H29" s="13">
        <v>150.9785</v>
      </c>
      <c r="I29" s="13">
        <v>69.513800000000003</v>
      </c>
      <c r="J29" s="13">
        <v>300.64210000000003</v>
      </c>
      <c r="K29" s="13">
        <v>134.3391</v>
      </c>
      <c r="L29" s="13">
        <v>10.7563</v>
      </c>
      <c r="M29" s="13">
        <v>23.553834999999999</v>
      </c>
      <c r="N29" s="13">
        <v>125.50660000000001</v>
      </c>
    </row>
    <row r="30" spans="3:14" ht="16" thickBot="1" x14ac:dyDescent="0.4">
      <c r="C30" s="13">
        <v>540</v>
      </c>
      <c r="D30" s="13">
        <v>2139442</v>
      </c>
      <c r="E30" s="13">
        <v>0</v>
      </c>
      <c r="F30" s="13">
        <v>4</v>
      </c>
      <c r="G30" s="13">
        <v>97.173299999999998</v>
      </c>
      <c r="H30" s="13">
        <v>188.89590000000001</v>
      </c>
      <c r="I30" s="13">
        <v>107.7916</v>
      </c>
      <c r="J30" s="13">
        <v>234.5377</v>
      </c>
      <c r="K30" s="13">
        <v>15.5787</v>
      </c>
      <c r="L30" s="13">
        <v>10.618499999999999</v>
      </c>
      <c r="M30" s="13">
        <v>23.550083999999998</v>
      </c>
      <c r="N30" s="13">
        <v>163.92179999999999</v>
      </c>
    </row>
    <row r="31" spans="3:14" ht="16" thickBot="1" x14ac:dyDescent="0.4">
      <c r="C31" s="13">
        <v>570</v>
      </c>
      <c r="D31" s="13">
        <v>2150073</v>
      </c>
      <c r="E31" s="13">
        <v>5</v>
      </c>
      <c r="F31" s="13">
        <v>0</v>
      </c>
      <c r="G31" s="13">
        <v>135.5889</v>
      </c>
      <c r="H31" s="13">
        <v>226.81319999999999</v>
      </c>
      <c r="I31" s="13">
        <v>146.0692</v>
      </c>
      <c r="J31" s="13">
        <v>168.43469999999999</v>
      </c>
      <c r="K31" s="13">
        <v>256.8177</v>
      </c>
      <c r="L31" s="13">
        <v>10.480499999999999</v>
      </c>
      <c r="M31" s="13">
        <v>23.546330999999999</v>
      </c>
      <c r="N31" s="13">
        <v>202.33699999999999</v>
      </c>
    </row>
    <row r="32" spans="3:14" ht="16" thickBot="1" x14ac:dyDescent="0.4">
      <c r="C32" s="13">
        <v>600</v>
      </c>
      <c r="D32" s="13">
        <v>2160704</v>
      </c>
      <c r="E32" s="13">
        <v>3</v>
      </c>
      <c r="F32" s="13">
        <v>1</v>
      </c>
      <c r="G32" s="13">
        <v>174.00460000000001</v>
      </c>
      <c r="H32" s="13">
        <v>264.73059999999998</v>
      </c>
      <c r="I32" s="13">
        <v>184.34649999999999</v>
      </c>
      <c r="J32" s="13">
        <v>102.33320000000001</v>
      </c>
      <c r="K32" s="13">
        <v>138.05619999999999</v>
      </c>
      <c r="L32" s="13">
        <v>10.3422</v>
      </c>
      <c r="M32" s="13">
        <v>23.542576</v>
      </c>
      <c r="N32" s="13">
        <v>240.75229999999999</v>
      </c>
    </row>
    <row r="33" spans="3:14" ht="16" thickBot="1" x14ac:dyDescent="0.4">
      <c r="C33" s="13">
        <v>630</v>
      </c>
      <c r="D33" s="13">
        <v>2171335</v>
      </c>
      <c r="E33" s="13">
        <v>1</v>
      </c>
      <c r="F33" s="13">
        <v>2</v>
      </c>
      <c r="G33" s="13">
        <v>212.4203</v>
      </c>
      <c r="H33" s="13">
        <v>302.64780000000002</v>
      </c>
      <c r="I33" s="13">
        <v>222.62360000000001</v>
      </c>
      <c r="J33" s="13">
        <v>362332</v>
      </c>
      <c r="K33" s="13">
        <v>19.2941</v>
      </c>
      <c r="L33" s="13">
        <v>10.2036</v>
      </c>
      <c r="M33" s="13">
        <v>23.538817999999999</v>
      </c>
      <c r="N33" s="13">
        <v>279.16770000000002</v>
      </c>
    </row>
    <row r="34" spans="3:14" ht="16" thickBot="1" x14ac:dyDescent="0.4">
      <c r="C34" s="13">
        <v>660</v>
      </c>
      <c r="D34" s="13">
        <v>2181966</v>
      </c>
      <c r="E34" s="13">
        <v>6</v>
      </c>
      <c r="F34" s="13">
        <v>3</v>
      </c>
      <c r="G34" s="13" t="s">
        <v>121</v>
      </c>
      <c r="H34" s="13">
        <v>340.56509999999997</v>
      </c>
      <c r="I34" s="13">
        <v>260.90050000000002</v>
      </c>
      <c r="J34" s="13">
        <v>330.13459999999998</v>
      </c>
      <c r="K34" s="13">
        <v>260.53140000000002</v>
      </c>
      <c r="L34" s="13">
        <v>10.0647</v>
      </c>
      <c r="M34" s="13">
        <v>23.535059</v>
      </c>
      <c r="N34" s="13">
        <v>317.58319999999998</v>
      </c>
    </row>
    <row r="35" spans="3:14" ht="16" thickBot="1" x14ac:dyDescent="0.4">
      <c r="C35" s="13">
        <v>690</v>
      </c>
      <c r="D35" s="13">
        <v>2192597</v>
      </c>
      <c r="E35" s="13">
        <v>4</v>
      </c>
      <c r="F35" s="13">
        <v>4</v>
      </c>
      <c r="G35" s="13">
        <v>289.2518</v>
      </c>
      <c r="H35" s="13">
        <v>184824</v>
      </c>
      <c r="I35" s="13">
        <v>299.1771</v>
      </c>
      <c r="J35" s="13">
        <v>264.03739999999999</v>
      </c>
      <c r="K35" s="13">
        <v>141.7681</v>
      </c>
      <c r="L35" s="13">
        <v>9.9254999999999995</v>
      </c>
      <c r="M35" s="13">
        <v>23.531298</v>
      </c>
      <c r="N35" s="13">
        <v>355.99869999999999</v>
      </c>
    </row>
    <row r="36" spans="3:14" ht="16" thickBot="1" x14ac:dyDescent="0.4">
      <c r="C36" s="13">
        <v>720</v>
      </c>
      <c r="D36" s="13">
        <v>2203228</v>
      </c>
      <c r="E36" s="13">
        <v>2</v>
      </c>
      <c r="F36" s="13">
        <v>0</v>
      </c>
      <c r="G36" s="13">
        <v>327.66770000000002</v>
      </c>
      <c r="H36" s="13">
        <v>56.3996</v>
      </c>
      <c r="I36" s="13">
        <v>337.45350000000002</v>
      </c>
      <c r="J36" s="13">
        <v>197.9418</v>
      </c>
      <c r="K36" s="13">
        <v>23.004200000000001</v>
      </c>
      <c r="L36" s="13">
        <v>9.7859999999999996</v>
      </c>
      <c r="M36" s="13">
        <v>23.527535</v>
      </c>
      <c r="N36" s="13">
        <v>34.414299999999997</v>
      </c>
    </row>
    <row r="37" spans="3:14" ht="16" thickBot="1" x14ac:dyDescent="0.4">
      <c r="C37" s="13">
        <v>750</v>
      </c>
      <c r="D37" s="13">
        <v>2213859</v>
      </c>
      <c r="E37" s="13">
        <v>0</v>
      </c>
      <c r="F37" s="13">
        <v>1</v>
      </c>
      <c r="G37" s="13">
        <v>6.0835999999999997</v>
      </c>
      <c r="H37" s="13">
        <v>94.316800000000001</v>
      </c>
      <c r="I37" s="13">
        <v>15.729699999999999</v>
      </c>
      <c r="J37" s="13">
        <v>131.8476</v>
      </c>
      <c r="K37" s="13">
        <v>264.2398</v>
      </c>
      <c r="L37" s="13">
        <v>9.6463000000000001</v>
      </c>
      <c r="M37" s="13">
        <v>23.523769999999999</v>
      </c>
      <c r="N37" s="13">
        <v>72.829899999999995</v>
      </c>
    </row>
    <row r="38" spans="3:14" ht="16" thickBot="1" x14ac:dyDescent="0.4">
      <c r="C38" s="13">
        <v>780</v>
      </c>
      <c r="D38" s="13">
        <v>2224490</v>
      </c>
      <c r="E38" s="13">
        <v>5</v>
      </c>
      <c r="F38" s="13">
        <v>2</v>
      </c>
      <c r="G38" s="13">
        <v>44.499600000000001</v>
      </c>
      <c r="H38" s="13">
        <v>132.23390000000001</v>
      </c>
      <c r="I38" s="13">
        <v>54.005600000000001</v>
      </c>
      <c r="J38" s="13">
        <v>65.754900000000006</v>
      </c>
      <c r="K38" s="13">
        <v>145.47479999999999</v>
      </c>
      <c r="L38" s="13">
        <v>9.5062999999999995</v>
      </c>
      <c r="M38" s="13">
        <v>23.520002999999999</v>
      </c>
      <c r="N38" s="13">
        <v>111.2456</v>
      </c>
    </row>
    <row r="39" spans="3:14" ht="16" thickBot="1" x14ac:dyDescent="0.4">
      <c r="C39" s="13">
        <v>810</v>
      </c>
      <c r="D39" s="13">
        <v>2235121</v>
      </c>
      <c r="E39" s="13">
        <v>3</v>
      </c>
      <c r="F39" s="13">
        <v>3</v>
      </c>
      <c r="G39" s="13">
        <v>82.915599999999998</v>
      </c>
      <c r="H39" s="13">
        <v>170.15110000000001</v>
      </c>
      <c r="I39" s="13">
        <v>92.281300000000002</v>
      </c>
      <c r="J39" s="13">
        <v>359.66370000000001</v>
      </c>
      <c r="K39" s="13">
        <v>26.709199999999999</v>
      </c>
      <c r="L39" s="13">
        <v>9.3658999999999999</v>
      </c>
      <c r="M39" s="13">
        <v>23.516235000000002</v>
      </c>
      <c r="N39" s="13">
        <v>149.66139999999999</v>
      </c>
    </row>
    <row r="40" spans="3:14" ht="16" thickBot="1" x14ac:dyDescent="0.4">
      <c r="C40" s="13">
        <v>840</v>
      </c>
      <c r="D40" s="13">
        <v>2245752</v>
      </c>
      <c r="E40" s="13">
        <v>1</v>
      </c>
      <c r="F40" s="13">
        <v>4</v>
      </c>
      <c r="G40" s="13">
        <v>121.33159999999999</v>
      </c>
      <c r="H40" s="13">
        <v>208.06819999999999</v>
      </c>
      <c r="I40" s="13">
        <v>130.55680000000001</v>
      </c>
      <c r="J40" s="13">
        <v>293.57400000000001</v>
      </c>
      <c r="K40" s="13">
        <v>267.94310000000002</v>
      </c>
      <c r="L40" s="13">
        <v>9.2254000000000005</v>
      </c>
      <c r="M40" s="13">
        <v>23.512464999999999</v>
      </c>
      <c r="N40" s="13">
        <v>188.0772</v>
      </c>
    </row>
    <row r="41" spans="3:14" ht="16" thickBot="1" x14ac:dyDescent="0.4">
      <c r="C41" s="13">
        <v>870</v>
      </c>
      <c r="D41" s="13">
        <v>2256383</v>
      </c>
      <c r="E41" s="13">
        <v>6</v>
      </c>
      <c r="F41" s="13">
        <v>0</v>
      </c>
      <c r="G41" s="13">
        <v>159.74780000000001</v>
      </c>
      <c r="H41" s="13">
        <v>245.9853</v>
      </c>
      <c r="I41" s="13">
        <v>168.82310000000001</v>
      </c>
      <c r="J41" s="13">
        <v>227.48570000000001</v>
      </c>
      <c r="K41" s="13">
        <v>149.1763</v>
      </c>
      <c r="L41" s="13">
        <v>9.0845000000000002</v>
      </c>
      <c r="M41" s="13">
        <v>23.508693999999998</v>
      </c>
      <c r="N41" s="13">
        <v>226.4932</v>
      </c>
    </row>
    <row r="42" spans="3:14" ht="16" thickBot="1" x14ac:dyDescent="0.4">
      <c r="C42" s="13">
        <v>900</v>
      </c>
      <c r="D42" s="13">
        <v>2267014</v>
      </c>
      <c r="E42" s="13">
        <v>4</v>
      </c>
      <c r="F42" s="13">
        <v>1</v>
      </c>
      <c r="G42" s="13">
        <v>198.16390000000001</v>
      </c>
      <c r="H42" s="13">
        <v>283.9024</v>
      </c>
      <c r="I42" s="13">
        <v>207.1071</v>
      </c>
      <c r="J42" s="13">
        <v>161.3989</v>
      </c>
      <c r="K42" s="13">
        <v>30.408999999999999</v>
      </c>
      <c r="L42" s="13">
        <v>8.9433000000000007</v>
      </c>
      <c r="M42" s="13">
        <v>23.504921</v>
      </c>
      <c r="N42" s="13">
        <v>264.90910000000002</v>
      </c>
    </row>
    <row r="43" spans="3:14" ht="16" thickBot="1" x14ac:dyDescent="0.4">
      <c r="C43" s="13">
        <v>930</v>
      </c>
      <c r="D43" s="13">
        <v>2277645</v>
      </c>
      <c r="E43" s="13">
        <v>2</v>
      </c>
      <c r="F43" s="13">
        <v>2</v>
      </c>
      <c r="G43" s="13">
        <v>236.58009999999999</v>
      </c>
      <c r="H43" s="13">
        <v>321.81950000000001</v>
      </c>
      <c r="I43" s="13">
        <v>245.3819</v>
      </c>
      <c r="J43" s="13">
        <v>95.313599999999994</v>
      </c>
      <c r="K43" s="13">
        <v>271.64109999999999</v>
      </c>
      <c r="L43" s="13">
        <v>8.8018999999999998</v>
      </c>
      <c r="M43" s="13">
        <v>23.501147</v>
      </c>
      <c r="N43" s="13">
        <v>303.3252</v>
      </c>
    </row>
    <row r="44" spans="3:14" ht="16" thickBot="1" x14ac:dyDescent="0.4">
      <c r="C44" s="13">
        <v>960</v>
      </c>
      <c r="D44" s="13">
        <v>2288276</v>
      </c>
      <c r="E44" s="13">
        <v>0</v>
      </c>
      <c r="F44" s="13">
        <v>3</v>
      </c>
      <c r="G44" s="13">
        <v>274.99639999999999</v>
      </c>
      <c r="H44" s="13">
        <v>359.73649999999998</v>
      </c>
      <c r="I44" s="13">
        <v>283.65640000000002</v>
      </c>
      <c r="J44" s="13">
        <v>29.229800000000001</v>
      </c>
      <c r="K44" s="13">
        <v>152.87270000000001</v>
      </c>
      <c r="L44" s="13">
        <v>8.6601999999999997</v>
      </c>
      <c r="M44" s="13">
        <v>23.497371999999999</v>
      </c>
      <c r="N44" s="13">
        <v>341.74130000000002</v>
      </c>
    </row>
    <row r="45" spans="3:14" ht="16" thickBot="1" x14ac:dyDescent="0.4">
      <c r="C45" s="13">
        <v>990</v>
      </c>
      <c r="D45" s="13">
        <v>2298907</v>
      </c>
      <c r="E45" s="13">
        <v>5</v>
      </c>
      <c r="F45" s="13">
        <v>4</v>
      </c>
      <c r="G45" s="13">
        <v>313.41269999999997</v>
      </c>
      <c r="H45" s="13">
        <v>37.653500000000001</v>
      </c>
      <c r="I45" s="13">
        <v>321.9307</v>
      </c>
      <c r="J45" s="13">
        <v>323.14749999999998</v>
      </c>
      <c r="K45" s="13">
        <v>34.103700000000003</v>
      </c>
      <c r="L45" s="13">
        <v>8.5182000000000002</v>
      </c>
      <c r="M45" s="13">
        <v>23.493596</v>
      </c>
      <c r="N45" s="13">
        <v>20.157499999999999</v>
      </c>
    </row>
    <row r="46" spans="3:14" ht="16" thickBot="1" x14ac:dyDescent="0.4">
      <c r="C46" s="13">
        <v>1020</v>
      </c>
      <c r="D46" s="13">
        <v>2309538</v>
      </c>
      <c r="E46" s="13">
        <v>3</v>
      </c>
      <c r="F46" s="13">
        <v>0</v>
      </c>
      <c r="G46" s="13">
        <v>351.82909999999998</v>
      </c>
      <c r="H46" s="13">
        <v>75.570400000000006</v>
      </c>
      <c r="I46" s="13">
        <v>0.20480000000000001</v>
      </c>
      <c r="J46" s="13">
        <v>257.06670000000003</v>
      </c>
      <c r="K46" s="13">
        <v>275.334</v>
      </c>
      <c r="L46" s="13">
        <v>8.3758999999999997</v>
      </c>
      <c r="M46" s="13">
        <v>23.489818</v>
      </c>
      <c r="N46" s="13">
        <v>58.573700000000002</v>
      </c>
    </row>
    <row r="47" spans="3:14" ht="16" thickBot="1" x14ac:dyDescent="0.4">
      <c r="C47" s="13">
        <v>1050</v>
      </c>
      <c r="D47" s="13">
        <v>2320169</v>
      </c>
      <c r="E47" s="13">
        <v>1</v>
      </c>
      <c r="F47" s="13">
        <v>1</v>
      </c>
      <c r="G47" s="13">
        <v>30.2455</v>
      </c>
      <c r="H47" s="13">
        <v>113.48739999999999</v>
      </c>
      <c r="I47" s="13">
        <v>38.478700000000003</v>
      </c>
      <c r="J47" s="13">
        <v>190.9873</v>
      </c>
      <c r="K47" s="13">
        <v>156.56389999999999</v>
      </c>
      <c r="L47" s="13">
        <v>8.2332999999999998</v>
      </c>
      <c r="M47" s="13">
        <v>23.486039999999999</v>
      </c>
      <c r="N47" s="13">
        <v>96.99</v>
      </c>
    </row>
    <row r="48" spans="3:14" ht="16" thickBot="1" x14ac:dyDescent="0.4">
      <c r="C48" s="13">
        <v>1080</v>
      </c>
      <c r="D48" s="13">
        <v>2330800</v>
      </c>
      <c r="E48" s="13">
        <v>6</v>
      </c>
      <c r="F48" s="13">
        <v>2</v>
      </c>
      <c r="G48" s="13" t="s">
        <v>122</v>
      </c>
      <c r="H48" s="13">
        <v>151.40430000000001</v>
      </c>
      <c r="I48" s="13">
        <v>76.752300000000005</v>
      </c>
      <c r="J48" s="13">
        <v>124.90949999999999</v>
      </c>
      <c r="K48" s="13">
        <v>37.793100000000003</v>
      </c>
      <c r="L48" s="13">
        <v>8.0905000000000005</v>
      </c>
      <c r="M48" s="13">
        <v>23.48226</v>
      </c>
      <c r="N48" s="13">
        <v>135.40639999999999</v>
      </c>
    </row>
    <row r="49" spans="3:14" ht="16" thickBot="1" x14ac:dyDescent="0.4">
      <c r="C49" s="13">
        <v>1110</v>
      </c>
      <c r="D49" s="13">
        <v>2341431</v>
      </c>
      <c r="E49" s="13">
        <v>4</v>
      </c>
      <c r="F49" s="13">
        <v>3</v>
      </c>
      <c r="G49" s="13">
        <v>107.07850000000001</v>
      </c>
      <c r="H49" s="13">
        <v>189.3211</v>
      </c>
      <c r="I49" s="13">
        <v>115.0257</v>
      </c>
      <c r="J49" s="13">
        <v>58.833199999999998</v>
      </c>
      <c r="K49" s="13">
        <v>279.02179999999998</v>
      </c>
      <c r="L49" s="13">
        <v>7.9474</v>
      </c>
      <c r="M49" s="13">
        <v>23.478480000000001</v>
      </c>
      <c r="N49" s="13">
        <v>173.8228</v>
      </c>
    </row>
    <row r="50" spans="3:14" ht="16" thickBot="1" x14ac:dyDescent="0.4">
      <c r="C50" s="13">
        <v>1140</v>
      </c>
      <c r="D50" s="13">
        <v>2352062</v>
      </c>
      <c r="E50" s="13">
        <v>2</v>
      </c>
      <c r="F50" s="13">
        <v>4</v>
      </c>
      <c r="G50" s="13">
        <v>145.49510000000001</v>
      </c>
      <c r="H50" s="13" t="s">
        <v>123</v>
      </c>
      <c r="I50" s="13">
        <v>153.2989</v>
      </c>
      <c r="J50" s="13">
        <v>352.75830000000002</v>
      </c>
      <c r="K50" s="13">
        <v>160.24979999999999</v>
      </c>
      <c r="L50" s="13">
        <v>7.8040000000000003</v>
      </c>
      <c r="M50" s="13">
        <v>23.474699000000001</v>
      </c>
      <c r="N50" s="13">
        <v>212.23929999999999</v>
      </c>
    </row>
    <row r="51" spans="3:14" ht="16" thickBot="1" x14ac:dyDescent="0.4">
      <c r="C51" s="13">
        <v>1170</v>
      </c>
      <c r="D51" s="13">
        <v>2362693</v>
      </c>
      <c r="E51" s="13">
        <v>0</v>
      </c>
      <c r="F51" s="13">
        <v>0</v>
      </c>
      <c r="G51" s="13">
        <v>183.9118</v>
      </c>
      <c r="H51" s="13" t="s">
        <v>124</v>
      </c>
      <c r="I51" s="13">
        <v>191.5719</v>
      </c>
      <c r="J51" s="13">
        <v>286.685</v>
      </c>
      <c r="K51" s="13">
        <v>41.477400000000003</v>
      </c>
      <c r="L51" s="13">
        <v>7.6603000000000003</v>
      </c>
      <c r="M51" s="13">
        <v>23.470917</v>
      </c>
      <c r="N51" s="13">
        <v>250.6559</v>
      </c>
    </row>
    <row r="52" spans="3:14" ht="16" thickBot="1" x14ac:dyDescent="0.4">
      <c r="C52" s="13">
        <v>1200</v>
      </c>
      <c r="D52" s="13">
        <v>2373324</v>
      </c>
      <c r="E52" s="13">
        <v>5</v>
      </c>
      <c r="F52" s="13">
        <v>1</v>
      </c>
      <c r="G52" s="13">
        <v>222.32839999999999</v>
      </c>
      <c r="H52" s="13">
        <v>303.07150000000001</v>
      </c>
      <c r="I52" s="13">
        <v>229.84460000000001</v>
      </c>
      <c r="J52" s="13">
        <v>220.61320000000001</v>
      </c>
      <c r="K52" s="13">
        <v>282.70429999999999</v>
      </c>
      <c r="L52" s="13">
        <v>7.5164</v>
      </c>
      <c r="M52" s="13">
        <v>23.467134999999999</v>
      </c>
      <c r="N52" s="13">
        <v>289.07249999999999</v>
      </c>
    </row>
    <row r="53" spans="3:14" ht="16" thickBot="1" x14ac:dyDescent="0.4">
      <c r="C53" s="13">
        <v>1230</v>
      </c>
      <c r="D53" s="13">
        <v>2383955</v>
      </c>
      <c r="E53" s="13">
        <v>3</v>
      </c>
      <c r="F53" s="13">
        <v>2</v>
      </c>
      <c r="G53" s="13">
        <v>260.74520000000001</v>
      </c>
      <c r="H53" s="13">
        <v>340.98840000000001</v>
      </c>
      <c r="I53" s="13">
        <v>268.11709999999999</v>
      </c>
      <c r="J53" s="13">
        <v>154.5429</v>
      </c>
      <c r="K53" s="13">
        <v>163.9306</v>
      </c>
      <c r="L53" s="13">
        <v>7.3720999999999997</v>
      </c>
      <c r="M53" s="13">
        <v>23.463352</v>
      </c>
      <c r="N53" s="13">
        <v>327.48919999999998</v>
      </c>
    </row>
    <row r="54" spans="3:14" ht="16" thickBot="1" x14ac:dyDescent="0.4">
      <c r="C54" s="13">
        <v>1260</v>
      </c>
      <c r="D54" s="13">
        <v>2394586</v>
      </c>
      <c r="E54" s="13">
        <v>1</v>
      </c>
      <c r="F54" s="13">
        <v>3</v>
      </c>
      <c r="G54" s="13" t="s">
        <v>125</v>
      </c>
      <c r="H54" s="13">
        <v>18.905100000000001</v>
      </c>
      <c r="I54" s="13">
        <v>306.38940000000002</v>
      </c>
      <c r="J54" s="13">
        <v>88.474100000000007</v>
      </c>
      <c r="K54" s="13">
        <v>45.156399999999998</v>
      </c>
      <c r="L54" s="13">
        <v>7.2275999999999998</v>
      </c>
      <c r="M54" s="13">
        <v>23.459568000000001</v>
      </c>
      <c r="N54" s="13">
        <v>5.9059999999999997</v>
      </c>
    </row>
    <row r="55" spans="3:14" ht="16" thickBot="1" x14ac:dyDescent="0.4">
      <c r="C55" s="13">
        <v>1290</v>
      </c>
      <c r="D55" s="13">
        <v>2405217</v>
      </c>
      <c r="E55" s="13">
        <v>6</v>
      </c>
      <c r="F55" s="13">
        <v>4</v>
      </c>
      <c r="G55" s="13">
        <v>337.5788</v>
      </c>
      <c r="H55" s="13">
        <v>56.821800000000003</v>
      </c>
      <c r="I55" s="13">
        <v>344.66140000000001</v>
      </c>
      <c r="J55" s="13">
        <v>22.468</v>
      </c>
      <c r="K55" s="13">
        <v>286.38159999999999</v>
      </c>
      <c r="L55" s="13">
        <v>7.0827999999999998</v>
      </c>
      <c r="M55" s="13">
        <v>23.455784000000001</v>
      </c>
      <c r="N55" s="13">
        <v>44.322800000000001</v>
      </c>
    </row>
    <row r="56" spans="3:14" ht="16" thickBot="1" x14ac:dyDescent="0.4">
      <c r="C56" s="13">
        <v>1320</v>
      </c>
      <c r="D56" s="13">
        <v>2415848</v>
      </c>
      <c r="E56" s="13">
        <v>4</v>
      </c>
      <c r="F56" s="13">
        <v>0</v>
      </c>
      <c r="G56" s="13">
        <v>15.995699999999999</v>
      </c>
      <c r="H56" s="13">
        <v>94.738500000000002</v>
      </c>
      <c r="I56" s="13">
        <v>22.933299999999999</v>
      </c>
      <c r="J56" s="13">
        <v>316.34100000000001</v>
      </c>
      <c r="K56" s="13">
        <v>167.6063</v>
      </c>
      <c r="L56" s="13">
        <v>6.9378000000000002</v>
      </c>
      <c r="M56" s="13">
        <v>23.452000000000002</v>
      </c>
      <c r="N56" s="13">
        <v>82.739699999999999</v>
      </c>
    </row>
    <row r="57" spans="3:14" ht="16" thickBot="1" x14ac:dyDescent="0.4">
      <c r="C57" s="13">
        <v>1350</v>
      </c>
      <c r="D57" s="13">
        <v>2426479</v>
      </c>
      <c r="E57" s="13">
        <v>2</v>
      </c>
      <c r="F57" s="13">
        <v>1</v>
      </c>
      <c r="G57" s="13">
        <v>54.412599999999998</v>
      </c>
      <c r="H57" s="13">
        <v>132.6551</v>
      </c>
      <c r="I57" s="13">
        <v>61.204900000000002</v>
      </c>
      <c r="J57" s="13">
        <v>250.27670000000001</v>
      </c>
      <c r="K57" s="13">
        <v>48.830300000000001</v>
      </c>
      <c r="L57" s="13">
        <v>6.7923999999999998</v>
      </c>
      <c r="M57" s="13">
        <v>23.448215000000001</v>
      </c>
      <c r="N57" s="13">
        <v>121.1567</v>
      </c>
    </row>
    <row r="58" spans="3:14" ht="16" thickBot="1" x14ac:dyDescent="0.4">
      <c r="C58" s="13">
        <v>1380</v>
      </c>
      <c r="D58" s="13">
        <v>2437110</v>
      </c>
      <c r="E58" s="13">
        <v>0</v>
      </c>
      <c r="F58" s="13">
        <v>2</v>
      </c>
      <c r="G58" s="13">
        <v>92.829599999999999</v>
      </c>
      <c r="H58" s="13">
        <v>170.5718</v>
      </c>
      <c r="I58" s="13">
        <v>99.476200000000006</v>
      </c>
      <c r="J58" s="13">
        <v>184.214</v>
      </c>
      <c r="K58" s="13">
        <v>290.05380000000002</v>
      </c>
      <c r="L58" s="13">
        <v>6.6467999999999998</v>
      </c>
      <c r="M58" s="13">
        <v>23.444430000000001</v>
      </c>
      <c r="N58" s="13">
        <v>159.5737</v>
      </c>
    </row>
    <row r="59" spans="3:14" ht="16" thickBot="1" x14ac:dyDescent="0.4">
      <c r="C59" s="13">
        <v>1410</v>
      </c>
      <c r="D59" s="13">
        <v>2447741</v>
      </c>
      <c r="E59" s="13">
        <v>5</v>
      </c>
      <c r="F59" s="13">
        <v>3</v>
      </c>
      <c r="G59" s="13">
        <v>131.2467</v>
      </c>
      <c r="H59" s="13">
        <v>208.48840000000001</v>
      </c>
      <c r="I59" s="13">
        <v>137.7474</v>
      </c>
      <c r="J59" s="13">
        <v>118.1528</v>
      </c>
      <c r="K59" s="13">
        <v>171.27670000000001</v>
      </c>
      <c r="L59" s="13">
        <v>6.5008999999999997</v>
      </c>
      <c r="M59" s="13">
        <v>23.440645</v>
      </c>
      <c r="N59" s="13">
        <v>197.99080000000001</v>
      </c>
    </row>
    <row r="60" spans="3:14" ht="16" thickBot="1" x14ac:dyDescent="0.4">
      <c r="C60" s="13">
        <v>1440</v>
      </c>
      <c r="D60" s="13">
        <v>2458372</v>
      </c>
      <c r="E60" s="13">
        <v>3</v>
      </c>
      <c r="F60" s="13">
        <v>4</v>
      </c>
      <c r="G60" s="13">
        <v>169.66370000000001</v>
      </c>
      <c r="H60" s="13" t="s">
        <v>126</v>
      </c>
      <c r="I60" s="13">
        <v>176.01830000000001</v>
      </c>
      <c r="J60" s="13">
        <v>520.93100000000004</v>
      </c>
      <c r="K60" s="13">
        <v>52.499000000000002</v>
      </c>
      <c r="L60" s="13">
        <v>6.3547000000000002</v>
      </c>
      <c r="M60" s="13">
        <v>23.436859999999999</v>
      </c>
      <c r="N60" s="13">
        <v>236.40799999999999</v>
      </c>
    </row>
    <row r="61" spans="3:14" ht="16" thickBot="1" x14ac:dyDescent="0.4">
      <c r="C61" s="13">
        <v>1470</v>
      </c>
      <c r="D61" s="13">
        <v>2469003</v>
      </c>
      <c r="E61" s="13">
        <v>1</v>
      </c>
      <c r="F61" s="13">
        <v>0</v>
      </c>
      <c r="G61" s="13">
        <v>208.08090000000001</v>
      </c>
      <c r="H61" s="13">
        <v>284.32150000000001</v>
      </c>
      <c r="I61" s="13">
        <v>214.28899999999999</v>
      </c>
      <c r="J61" s="13">
        <v>346.03489999999999</v>
      </c>
      <c r="K61" s="13">
        <v>293.7208</v>
      </c>
      <c r="L61" s="13">
        <v>6.2083000000000004</v>
      </c>
      <c r="M61" s="13">
        <v>23.433074999999999</v>
      </c>
      <c r="N61" s="13">
        <v>274.8252</v>
      </c>
    </row>
    <row r="62" spans="3:14" ht="16" thickBot="1" x14ac:dyDescent="0.4">
      <c r="C62" s="13">
        <v>1500</v>
      </c>
      <c r="D62" s="13">
        <v>2479634</v>
      </c>
      <c r="E62" s="13">
        <v>6</v>
      </c>
      <c r="F62" s="13">
        <v>1</v>
      </c>
      <c r="G62" s="13">
        <v>246.49809999999999</v>
      </c>
      <c r="H62" s="13">
        <v>322.23809999999997</v>
      </c>
      <c r="I62" s="13">
        <v>252.55950000000001</v>
      </c>
      <c r="J62" s="13">
        <v>279.97829999999999</v>
      </c>
      <c r="K62" s="13">
        <v>174.9419</v>
      </c>
      <c r="L62" s="13">
        <v>6.0616000000000003</v>
      </c>
      <c r="M62" s="13">
        <v>23.429290999999999</v>
      </c>
      <c r="N62" s="13">
        <v>313.24250000000001</v>
      </c>
    </row>
    <row r="63" spans="3:14" ht="16" thickBot="1" x14ac:dyDescent="0.4">
      <c r="C63" s="13">
        <v>1530</v>
      </c>
      <c r="D63" s="13">
        <v>2490265</v>
      </c>
      <c r="E63" s="13">
        <v>4</v>
      </c>
      <c r="F63" s="13">
        <v>2</v>
      </c>
      <c r="G63" s="13">
        <v>284.9153</v>
      </c>
      <c r="H63" s="13">
        <v>0.1547</v>
      </c>
      <c r="I63" s="13" t="s">
        <v>127</v>
      </c>
      <c r="J63" s="13">
        <v>213.92320000000001</v>
      </c>
      <c r="K63" s="13">
        <v>56.162500000000001</v>
      </c>
      <c r="L63" s="13">
        <v>5.9146000000000001</v>
      </c>
      <c r="M63" s="13">
        <v>23.425505999999999</v>
      </c>
      <c r="N63" s="13">
        <v>351.65980000000002</v>
      </c>
    </row>
    <row r="64" spans="3:14" ht="16" thickBot="1" x14ac:dyDescent="0.4">
      <c r="C64" s="13">
        <v>1560</v>
      </c>
      <c r="D64" s="13">
        <v>2500896</v>
      </c>
      <c r="E64" s="13">
        <v>2</v>
      </c>
      <c r="F64" s="13">
        <v>3</v>
      </c>
      <c r="G64" s="13">
        <v>323.33260000000001</v>
      </c>
      <c r="H64" s="13">
        <v>38.071100000000001</v>
      </c>
      <c r="I64" s="13" t="s">
        <v>128</v>
      </c>
      <c r="J64" s="13">
        <v>147.86959999999999</v>
      </c>
      <c r="K64" s="13">
        <v>297.38249999999999</v>
      </c>
      <c r="L64" s="13">
        <v>5.7672999999999996</v>
      </c>
      <c r="M64" s="13">
        <v>23.421721000000002</v>
      </c>
      <c r="N64" s="13">
        <v>30.077300000000001</v>
      </c>
    </row>
    <row r="65" spans="3:14" ht="16" thickBot="1" x14ac:dyDescent="0.4">
      <c r="C65" s="13">
        <v>1590</v>
      </c>
      <c r="D65" s="13">
        <v>2511527</v>
      </c>
      <c r="E65" s="13">
        <v>0</v>
      </c>
      <c r="F65" s="13">
        <v>4</v>
      </c>
      <c r="G65" s="13" t="s">
        <v>129</v>
      </c>
      <c r="H65" s="13">
        <v>75.987499999999997</v>
      </c>
      <c r="I65" s="13">
        <v>7.3695000000000004</v>
      </c>
      <c r="J65" s="13">
        <v>81.817599999999999</v>
      </c>
      <c r="K65" s="13">
        <v>178.602</v>
      </c>
      <c r="L65" s="13">
        <v>5.6197999999999997</v>
      </c>
      <c r="M65" s="13">
        <v>23.417936999999998</v>
      </c>
      <c r="N65" s="13">
        <v>68.494699999999995</v>
      </c>
    </row>
    <row r="66" spans="3:14" ht="16" thickBot="1" x14ac:dyDescent="0.4">
      <c r="C66" s="13">
        <v>1620</v>
      </c>
      <c r="D66" s="13">
        <v>2522158</v>
      </c>
      <c r="E66" s="13">
        <v>5</v>
      </c>
      <c r="F66" s="13">
        <v>0</v>
      </c>
      <c r="G66" s="13">
        <v>40.167400000000001</v>
      </c>
      <c r="H66" s="13" t="s">
        <v>130</v>
      </c>
      <c r="I66" s="13">
        <v>45.639099999999999</v>
      </c>
      <c r="J66" s="13">
        <v>15.766999999999999</v>
      </c>
      <c r="K66" s="13">
        <v>59.820799999999998</v>
      </c>
      <c r="L66" s="13">
        <v>5.4718999999999998</v>
      </c>
      <c r="M66" s="13">
        <v>23.414152999999999</v>
      </c>
      <c r="N66" s="13">
        <v>106.9123</v>
      </c>
    </row>
    <row r="67" spans="3:14" ht="16" thickBot="1" x14ac:dyDescent="0.4">
      <c r="C67" s="13">
        <v>1650</v>
      </c>
      <c r="D67" s="13">
        <v>2532789</v>
      </c>
      <c r="E67" s="13">
        <v>3</v>
      </c>
      <c r="F67" s="13">
        <v>1</v>
      </c>
      <c r="G67" s="13">
        <v>78.584800000000001</v>
      </c>
      <c r="H67" s="13">
        <v>151.82040000000001</v>
      </c>
      <c r="I67" s="13">
        <v>83.908500000000004</v>
      </c>
      <c r="J67" s="13">
        <v>309.71809999999999</v>
      </c>
      <c r="K67" s="13">
        <v>301.03910000000002</v>
      </c>
      <c r="L67" s="13">
        <v>5.3238000000000003</v>
      </c>
      <c r="M67" s="13">
        <v>23.41037</v>
      </c>
      <c r="N67" s="13">
        <v>145.32990000000001</v>
      </c>
    </row>
    <row r="68" spans="3:14" ht="16" thickBot="1" x14ac:dyDescent="0.4">
      <c r="C68" s="13">
        <v>1680</v>
      </c>
      <c r="D68" s="13">
        <v>2543420</v>
      </c>
      <c r="E68" s="13">
        <v>1</v>
      </c>
      <c r="F68" s="13">
        <v>2</v>
      </c>
      <c r="G68" s="13">
        <v>117.00230000000001</v>
      </c>
      <c r="H68" s="13">
        <v>189.73679999999999</v>
      </c>
      <c r="I68" s="13">
        <v>122.1776</v>
      </c>
      <c r="J68" s="13">
        <v>243.67060000000001</v>
      </c>
      <c r="K68" s="13">
        <v>182.2568</v>
      </c>
      <c r="L68" s="13">
        <v>5.1755000000000004</v>
      </c>
      <c r="M68" s="13">
        <v>23.406586999999998</v>
      </c>
      <c r="N68" s="13">
        <v>183.74760000000001</v>
      </c>
    </row>
    <row r="69" spans="3:14" ht="16" thickBot="1" x14ac:dyDescent="0.4">
      <c r="C69" s="13">
        <v>1710</v>
      </c>
      <c r="D69" s="13">
        <v>2554051</v>
      </c>
      <c r="E69" s="13">
        <v>6</v>
      </c>
      <c r="F69" s="13">
        <v>3</v>
      </c>
      <c r="G69" s="13">
        <v>155.41990000000001</v>
      </c>
      <c r="H69" s="13">
        <v>227.65309999999999</v>
      </c>
      <c r="I69" s="13">
        <v>160.44649999999999</v>
      </c>
      <c r="J69" s="13">
        <v>177.62479999999999</v>
      </c>
      <c r="K69" s="13">
        <v>63.473999999999997</v>
      </c>
      <c r="L69" s="13">
        <v>5.0267999999999997</v>
      </c>
      <c r="M69" s="13">
        <v>23.402805000000001</v>
      </c>
      <c r="N69" s="13">
        <v>222.16540000000001</v>
      </c>
    </row>
    <row r="70" spans="3:14" ht="16" thickBot="1" x14ac:dyDescent="0.4">
      <c r="C70" s="13">
        <v>1740</v>
      </c>
      <c r="D70" s="13">
        <v>2564682</v>
      </c>
      <c r="E70" s="13">
        <v>4</v>
      </c>
      <c r="F70" s="13">
        <v>4</v>
      </c>
      <c r="G70" s="13">
        <v>193.83750000000001</v>
      </c>
      <c r="H70" s="13">
        <v>265.56950000000001</v>
      </c>
      <c r="I70" s="13">
        <v>198.71520000000001</v>
      </c>
      <c r="J70" s="13">
        <v>111.5804</v>
      </c>
      <c r="K70" s="13">
        <v>304.69049999999999</v>
      </c>
      <c r="L70" s="13">
        <v>4.8779000000000003</v>
      </c>
      <c r="M70" s="13">
        <v>23.399024000000001</v>
      </c>
      <c r="N70" s="13">
        <v>260.58319999999998</v>
      </c>
    </row>
    <row r="71" spans="3:14" ht="16" thickBot="1" x14ac:dyDescent="0.4">
      <c r="C71" s="13">
        <v>1770</v>
      </c>
      <c r="D71" s="13">
        <v>2575313</v>
      </c>
      <c r="E71" s="13">
        <v>2</v>
      </c>
      <c r="F71" s="13">
        <v>0</v>
      </c>
      <c r="G71" s="13">
        <v>232.2552</v>
      </c>
      <c r="H71" s="13">
        <v>303.48579999999998</v>
      </c>
      <c r="I71" s="13">
        <v>236.9837</v>
      </c>
      <c r="J71" s="13">
        <v>45.537599999999998</v>
      </c>
      <c r="K71" s="13">
        <v>185.90649999999999</v>
      </c>
      <c r="L71" s="13">
        <v>47287</v>
      </c>
      <c r="M71" s="13">
        <v>23.395243000000001</v>
      </c>
      <c r="N71" s="13">
        <v>299.00110000000001</v>
      </c>
    </row>
    <row r="72" spans="3:14" ht="16" thickBot="1" x14ac:dyDescent="0.4">
      <c r="C72" s="13">
        <v>1800</v>
      </c>
      <c r="D72" s="13">
        <v>2585944</v>
      </c>
      <c r="E72" s="13">
        <v>0</v>
      </c>
      <c r="F72" s="13">
        <v>1</v>
      </c>
      <c r="G72" s="13">
        <v>270.67290000000003</v>
      </c>
      <c r="H72" s="13" t="s">
        <v>131</v>
      </c>
      <c r="I72" s="13">
        <v>275.25189999999998</v>
      </c>
      <c r="J72" s="13">
        <v>339.49639999999999</v>
      </c>
      <c r="K72" s="13">
        <v>67.121899999999997</v>
      </c>
      <c r="L72" s="13">
        <v>45792</v>
      </c>
      <c r="M72" s="13">
        <v>23.391463000000002</v>
      </c>
      <c r="N72" s="13">
        <v>337.41899999999998</v>
      </c>
    </row>
  </sheetData>
  <mergeCells count="2">
    <mergeCell ref="C3:N3"/>
    <mergeCell ref="E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9FD7-A8C4-4ADB-A460-CD981ABBAE51}">
  <dimension ref="C2:M36"/>
  <sheetViews>
    <sheetView topLeftCell="C1" workbookViewId="0">
      <selection activeCell="B3" sqref="B3:M36"/>
    </sheetView>
  </sheetViews>
  <sheetFormatPr defaultRowHeight="14.5" x14ac:dyDescent="0.35"/>
  <cols>
    <col min="3" max="3" width="10.6328125" customWidth="1"/>
    <col min="7" max="7" width="11" customWidth="1"/>
    <col min="8" max="8" width="10.54296875" customWidth="1"/>
    <col min="9" max="9" width="11.1796875" customWidth="1"/>
    <col min="10" max="10" width="10.453125" customWidth="1"/>
    <col min="11" max="11" width="11.6328125" customWidth="1"/>
    <col min="12" max="12" width="10.81640625" customWidth="1"/>
    <col min="13" max="13" width="12.453125" customWidth="1"/>
  </cols>
  <sheetData>
    <row r="2" spans="3:13" ht="15" thickBot="1" x14ac:dyDescent="0.4"/>
    <row r="3" spans="3:13" ht="16" thickBot="1" x14ac:dyDescent="0.4">
      <c r="C3" s="49" t="s">
        <v>132</v>
      </c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3:13" ht="16" thickBot="1" x14ac:dyDescent="0.4">
      <c r="C4" s="17" t="s">
        <v>94</v>
      </c>
      <c r="D4" s="17" t="s">
        <v>95</v>
      </c>
      <c r="E4" s="49" t="s">
        <v>96</v>
      </c>
      <c r="F4" s="49"/>
      <c r="G4" s="17" t="s">
        <v>97</v>
      </c>
      <c r="H4" s="17" t="s">
        <v>100</v>
      </c>
      <c r="I4" s="17" t="s">
        <v>99</v>
      </c>
      <c r="J4" s="17" t="s">
        <v>100</v>
      </c>
      <c r="K4" s="17" t="s">
        <v>101</v>
      </c>
      <c r="L4" s="17" t="s">
        <v>102</v>
      </c>
      <c r="M4" s="17" t="s">
        <v>103</v>
      </c>
    </row>
    <row r="5" spans="3:13" ht="16" thickBot="1" x14ac:dyDescent="0.4">
      <c r="C5" s="18"/>
      <c r="D5" s="18" t="s">
        <v>105</v>
      </c>
      <c r="E5" s="18" t="s">
        <v>106</v>
      </c>
      <c r="F5" s="18" t="s">
        <v>107</v>
      </c>
      <c r="G5" s="18" t="s">
        <v>108</v>
      </c>
      <c r="H5" s="18" t="s">
        <v>109</v>
      </c>
      <c r="I5" s="18" t="s">
        <v>2</v>
      </c>
      <c r="J5" s="18" t="s">
        <v>5</v>
      </c>
      <c r="K5" s="18" t="s">
        <v>110</v>
      </c>
      <c r="L5" s="18" t="s">
        <v>111</v>
      </c>
      <c r="M5" s="18">
        <v>0</v>
      </c>
    </row>
    <row r="6" spans="3:13" ht="16" thickBot="1" x14ac:dyDescent="0.4">
      <c r="C6" s="13">
        <v>0</v>
      </c>
      <c r="D6" s="13" t="s">
        <v>16</v>
      </c>
      <c r="E6" s="13" t="s">
        <v>16</v>
      </c>
      <c r="F6" s="13" t="s">
        <v>16</v>
      </c>
      <c r="G6" s="13" t="s">
        <v>22</v>
      </c>
      <c r="H6" s="13" t="s">
        <v>22</v>
      </c>
      <c r="I6" s="13" t="s">
        <v>22</v>
      </c>
      <c r="J6" s="13" t="s">
        <v>22</v>
      </c>
      <c r="K6" s="13" t="s">
        <v>22</v>
      </c>
      <c r="L6" s="13" t="s">
        <v>22</v>
      </c>
      <c r="M6" s="13" t="s">
        <v>22</v>
      </c>
    </row>
    <row r="7" spans="3:13" ht="16" thickBot="1" x14ac:dyDescent="0.4">
      <c r="C7" s="13">
        <v>1</v>
      </c>
      <c r="D7" s="13" t="s">
        <v>133</v>
      </c>
      <c r="E7" s="13" t="s">
        <v>45</v>
      </c>
      <c r="F7" s="13" t="s">
        <v>45</v>
      </c>
      <c r="G7" s="13">
        <v>348.91919999999999</v>
      </c>
      <c r="H7" s="13">
        <v>348.90249999999997</v>
      </c>
      <c r="I7" s="13">
        <v>344.44439999999997</v>
      </c>
      <c r="J7" s="13">
        <v>305.00749999999999</v>
      </c>
      <c r="K7" s="13" t="s">
        <v>134</v>
      </c>
      <c r="L7" s="13">
        <v>355.52519999999998</v>
      </c>
      <c r="M7" s="13">
        <v>-1.26E-4</v>
      </c>
    </row>
    <row r="8" spans="3:13" ht="16" thickBot="1" x14ac:dyDescent="0.4">
      <c r="C8" s="13">
        <v>2</v>
      </c>
      <c r="D8" s="13" t="s">
        <v>135</v>
      </c>
      <c r="E8" s="13" t="s">
        <v>42</v>
      </c>
      <c r="F8" s="13" t="s">
        <v>44</v>
      </c>
      <c r="G8" s="13">
        <v>337.8383</v>
      </c>
      <c r="H8" s="13" t="s">
        <v>136</v>
      </c>
      <c r="I8" s="13">
        <v>328.88869999999997</v>
      </c>
      <c r="J8" s="13" t="s">
        <v>137</v>
      </c>
      <c r="K8" s="13" t="s">
        <v>138</v>
      </c>
      <c r="L8" s="13">
        <v>351.05040000000002</v>
      </c>
      <c r="M8" s="13">
        <v>-2.52E-4</v>
      </c>
    </row>
    <row r="9" spans="3:13" ht="16" thickBot="1" x14ac:dyDescent="0.4">
      <c r="C9" s="13">
        <v>3</v>
      </c>
      <c r="D9" s="13" t="s">
        <v>139</v>
      </c>
      <c r="E9" s="13" t="s">
        <v>50</v>
      </c>
      <c r="F9" s="13" t="s">
        <v>44</v>
      </c>
      <c r="G9" s="13">
        <v>327.74310000000003</v>
      </c>
      <c r="H9" s="13">
        <v>327.69310000000002</v>
      </c>
      <c r="I9" s="13">
        <v>326.5095</v>
      </c>
      <c r="J9" s="13">
        <v>208.08750000000001</v>
      </c>
      <c r="K9" s="13">
        <v>22.799299999999999</v>
      </c>
      <c r="L9" s="13">
        <v>358.7663</v>
      </c>
      <c r="M9" s="13">
        <v>-3.7800000000000003E-4</v>
      </c>
    </row>
    <row r="10" spans="3:13" ht="16" thickBot="1" x14ac:dyDescent="0.4">
      <c r="C10" s="13">
        <v>4</v>
      </c>
      <c r="D10" s="13" t="s">
        <v>140</v>
      </c>
      <c r="E10" s="13" t="s">
        <v>44</v>
      </c>
      <c r="F10" s="13" t="s">
        <v>43</v>
      </c>
      <c r="G10" s="13">
        <v>316.66230000000002</v>
      </c>
      <c r="H10" s="13">
        <v>316.59559999999999</v>
      </c>
      <c r="I10" s="13">
        <v>310.9538</v>
      </c>
      <c r="J10" s="13" t="s">
        <v>141</v>
      </c>
      <c r="K10" s="13">
        <v>25.9893</v>
      </c>
      <c r="L10" s="13">
        <v>354.29149999999998</v>
      </c>
      <c r="M10" s="13">
        <v>-5.0500000000000002E-4</v>
      </c>
    </row>
    <row r="11" spans="3:13" ht="16" thickBot="1" x14ac:dyDescent="0.4">
      <c r="C11" s="13">
        <v>5</v>
      </c>
      <c r="D11" s="13" t="s">
        <v>142</v>
      </c>
      <c r="E11" s="13" t="s">
        <v>16</v>
      </c>
      <c r="F11" s="13" t="s">
        <v>42</v>
      </c>
      <c r="G11" s="13">
        <v>305.58150000000001</v>
      </c>
      <c r="H11" s="13">
        <v>305.49810000000002</v>
      </c>
      <c r="I11" s="13">
        <v>295.39819999999997</v>
      </c>
      <c r="J11" s="13">
        <v>98.102500000000006</v>
      </c>
      <c r="K11" s="13">
        <v>29.179300000000001</v>
      </c>
      <c r="L11" s="13">
        <v>349.81670000000003</v>
      </c>
      <c r="M11" s="13">
        <v>-6.3100000000000005E-4</v>
      </c>
    </row>
    <row r="12" spans="3:13" ht="16" thickBot="1" x14ac:dyDescent="0.4">
      <c r="C12" s="13">
        <v>6</v>
      </c>
      <c r="D12" s="13" t="s">
        <v>143</v>
      </c>
      <c r="E12" s="13" t="s">
        <v>47</v>
      </c>
      <c r="F12" s="13" t="s">
        <v>42</v>
      </c>
      <c r="G12" s="13">
        <v>295.48630000000003</v>
      </c>
      <c r="H12" s="13">
        <v>295.38619999999997</v>
      </c>
      <c r="I12" s="13">
        <v>293.01889999999997</v>
      </c>
      <c r="J12" s="13" t="s">
        <v>144</v>
      </c>
      <c r="K12" s="13">
        <v>45.598599999999998</v>
      </c>
      <c r="L12" s="13">
        <v>357.5326</v>
      </c>
      <c r="M12" s="13">
        <v>-7.5699999999999997E-4</v>
      </c>
    </row>
    <row r="13" spans="3:13" ht="16" thickBot="1" x14ac:dyDescent="0.4">
      <c r="C13" s="13">
        <v>7</v>
      </c>
      <c r="D13" s="13" t="s">
        <v>145</v>
      </c>
      <c r="E13" s="13" t="s">
        <v>43</v>
      </c>
      <c r="F13" s="13" t="s">
        <v>16</v>
      </c>
      <c r="G13" s="13">
        <v>284.40550000000002</v>
      </c>
      <c r="H13" s="13">
        <v>284.28870000000001</v>
      </c>
      <c r="I13" s="13">
        <v>277.4633</v>
      </c>
      <c r="J13" s="13">
        <v>1.1826000000000001</v>
      </c>
      <c r="K13" s="13">
        <v>48.788600000000002</v>
      </c>
      <c r="L13" s="13">
        <v>353.05779999999999</v>
      </c>
      <c r="M13" s="13">
        <v>-8.83E-4</v>
      </c>
    </row>
    <row r="14" spans="3:13" ht="16" thickBot="1" x14ac:dyDescent="0.4">
      <c r="C14" s="13">
        <v>8</v>
      </c>
      <c r="D14" s="13" t="s">
        <v>146</v>
      </c>
      <c r="E14" s="13" t="s">
        <v>50</v>
      </c>
      <c r="F14" s="13" t="s">
        <v>45</v>
      </c>
      <c r="G14" s="13">
        <v>273.32459999999998</v>
      </c>
      <c r="H14" s="13">
        <v>273.19119999999998</v>
      </c>
      <c r="I14" s="13">
        <v>261.9076</v>
      </c>
      <c r="J14" s="13">
        <v>306.19009999999997</v>
      </c>
      <c r="K14" s="13">
        <v>51.9786</v>
      </c>
      <c r="L14" s="13">
        <v>348.58300000000003</v>
      </c>
      <c r="M14" s="13">
        <v>-1.0089999999999999E-3</v>
      </c>
    </row>
    <row r="15" spans="3:13" ht="16" thickBot="1" x14ac:dyDescent="0.4">
      <c r="C15" s="13">
        <v>9</v>
      </c>
      <c r="D15" s="13" t="s">
        <v>147</v>
      </c>
      <c r="E15" s="13" t="s">
        <v>45</v>
      </c>
      <c r="F15" s="13" t="s">
        <v>45</v>
      </c>
      <c r="G15" s="13">
        <v>263.2294</v>
      </c>
      <c r="H15" s="13">
        <v>263.07929999999999</v>
      </c>
      <c r="I15" s="13">
        <v>259.52839999999998</v>
      </c>
      <c r="J15" s="13">
        <v>264.26260000000002</v>
      </c>
      <c r="K15" s="13">
        <v>68.397900000000007</v>
      </c>
      <c r="L15" s="13">
        <v>356.2989</v>
      </c>
      <c r="M15" s="13">
        <v>-1.1349999999999999E-3</v>
      </c>
    </row>
    <row r="16" spans="3:13" ht="16" thickBot="1" x14ac:dyDescent="0.4">
      <c r="C16" s="13">
        <v>10</v>
      </c>
      <c r="D16" s="13" t="s">
        <v>148</v>
      </c>
      <c r="E16" s="13" t="s">
        <v>42</v>
      </c>
      <c r="F16" s="13" t="s">
        <v>44</v>
      </c>
      <c r="G16" s="13">
        <v>252.14859999999999</v>
      </c>
      <c r="H16" s="13">
        <v>251.98179999999999</v>
      </c>
      <c r="I16" s="13">
        <v>243.9727</v>
      </c>
      <c r="J16" s="13">
        <v>209.27010000000001</v>
      </c>
      <c r="K16" s="13">
        <v>71.587900000000005</v>
      </c>
      <c r="L16" s="13">
        <v>351.82409999999999</v>
      </c>
      <c r="M16" s="13">
        <v>-1.261E-3</v>
      </c>
    </row>
    <row r="17" spans="3:13" ht="16" thickBot="1" x14ac:dyDescent="0.4">
      <c r="C17" s="13">
        <v>11</v>
      </c>
      <c r="D17" s="13" t="s">
        <v>149</v>
      </c>
      <c r="E17" s="13" t="s">
        <v>50</v>
      </c>
      <c r="F17" s="13" t="s">
        <v>44</v>
      </c>
      <c r="G17" s="13">
        <v>242.05340000000001</v>
      </c>
      <c r="H17" s="13">
        <v>241.8699</v>
      </c>
      <c r="I17" s="13">
        <v>241.59350000000001</v>
      </c>
      <c r="J17" s="13">
        <v>167.3426</v>
      </c>
      <c r="K17" s="13">
        <v>88.007199999999997</v>
      </c>
      <c r="L17" s="13" t="s">
        <v>150</v>
      </c>
      <c r="M17" s="13">
        <v>-1.3879999999999999E-3</v>
      </c>
    </row>
    <row r="18" spans="3:13" ht="16" thickBot="1" x14ac:dyDescent="0.4">
      <c r="C18" s="13">
        <v>12</v>
      </c>
      <c r="D18" s="13" t="s">
        <v>151</v>
      </c>
      <c r="E18" s="13" t="s">
        <v>44</v>
      </c>
      <c r="F18" s="13" t="s">
        <v>43</v>
      </c>
      <c r="G18" s="13">
        <v>230.9726</v>
      </c>
      <c r="H18" s="13">
        <v>230.7724</v>
      </c>
      <c r="I18" s="13">
        <v>226.0378</v>
      </c>
      <c r="J18" s="13">
        <v>112.3502</v>
      </c>
      <c r="K18" s="13">
        <v>91.197199999999995</v>
      </c>
      <c r="L18" s="13">
        <v>355.0652</v>
      </c>
      <c r="M18" s="13">
        <v>-1.5139999999999999E-3</v>
      </c>
    </row>
    <row r="19" spans="3:13" ht="16" thickBot="1" x14ac:dyDescent="0.4">
      <c r="C19" s="13">
        <v>13</v>
      </c>
      <c r="D19" s="13" t="s">
        <v>152</v>
      </c>
      <c r="E19" s="13" t="s">
        <v>16</v>
      </c>
      <c r="F19" s="13" t="s">
        <v>42</v>
      </c>
      <c r="G19" s="13">
        <v>219.89169999999999</v>
      </c>
      <c r="H19" s="13">
        <v>219.67490000000001</v>
      </c>
      <c r="I19" s="13">
        <v>210.48220000000001</v>
      </c>
      <c r="J19" s="13">
        <v>57.357700000000001</v>
      </c>
      <c r="K19" s="13">
        <v>94.387200000000007</v>
      </c>
      <c r="L19" s="13">
        <v>350.59039999999999</v>
      </c>
      <c r="M19" s="13" t="s">
        <v>153</v>
      </c>
    </row>
    <row r="20" spans="3:13" ht="16" thickBot="1" x14ac:dyDescent="0.4">
      <c r="C20" s="13">
        <v>14</v>
      </c>
      <c r="D20" s="13" t="s">
        <v>154</v>
      </c>
      <c r="E20" s="13" t="s">
        <v>47</v>
      </c>
      <c r="F20" s="13" t="s">
        <v>42</v>
      </c>
      <c r="G20" s="13">
        <v>209.79660000000001</v>
      </c>
      <c r="H20" s="13" t="s">
        <v>155</v>
      </c>
      <c r="I20" s="13">
        <v>208.10290000000001</v>
      </c>
      <c r="J20" s="13">
        <v>15.430199999999999</v>
      </c>
      <c r="K20" s="13">
        <v>110.8065</v>
      </c>
      <c r="L20" s="13">
        <v>358.30630000000002</v>
      </c>
      <c r="M20" s="13">
        <v>-1.766E-3</v>
      </c>
    </row>
    <row r="21" spans="3:13" ht="16" thickBot="1" x14ac:dyDescent="0.4">
      <c r="C21" s="13">
        <v>15</v>
      </c>
      <c r="D21" s="13" t="s">
        <v>156</v>
      </c>
      <c r="E21" s="13" t="s">
        <v>43</v>
      </c>
      <c r="F21" s="13" t="s">
        <v>16</v>
      </c>
      <c r="G21" s="13">
        <v>198.7157</v>
      </c>
      <c r="H21" s="13">
        <v>198.46549999999999</v>
      </c>
      <c r="I21" s="13">
        <v>192.54730000000001</v>
      </c>
      <c r="J21" s="13">
        <v>320.43770000000001</v>
      </c>
      <c r="K21" s="13">
        <v>113.9965</v>
      </c>
      <c r="L21" s="13">
        <v>353.83150000000001</v>
      </c>
      <c r="M21" s="13">
        <v>-1.892E-3</v>
      </c>
    </row>
    <row r="22" spans="3:13" ht="16" thickBot="1" x14ac:dyDescent="0.4">
      <c r="C22" s="13">
        <v>16</v>
      </c>
      <c r="D22" s="13" t="s">
        <v>157</v>
      </c>
      <c r="E22" s="13" t="s">
        <v>50</v>
      </c>
      <c r="F22" s="13" t="s">
        <v>45</v>
      </c>
      <c r="G22" s="13">
        <v>187.63489999999999</v>
      </c>
      <c r="H22" s="13" t="s">
        <v>158</v>
      </c>
      <c r="I22" s="13">
        <v>176.99160000000001</v>
      </c>
      <c r="J22" s="13">
        <v>265.44529999999997</v>
      </c>
      <c r="K22" s="13">
        <v>117.18640000000001</v>
      </c>
      <c r="L22" s="13">
        <v>349.35669999999999</v>
      </c>
      <c r="M22" s="13">
        <v>-2.0179999999999998E-3</v>
      </c>
    </row>
    <row r="23" spans="3:13" ht="16" thickBot="1" x14ac:dyDescent="0.4">
      <c r="C23" s="13">
        <v>17</v>
      </c>
      <c r="D23" s="13" t="s">
        <v>159</v>
      </c>
      <c r="E23" s="13" t="s">
        <v>45</v>
      </c>
      <c r="F23" s="13" t="s">
        <v>45</v>
      </c>
      <c r="G23" s="13">
        <v>177.53970000000001</v>
      </c>
      <c r="H23" s="13">
        <v>177.2561</v>
      </c>
      <c r="I23" s="13">
        <v>174.6123</v>
      </c>
      <c r="J23" s="13">
        <v>223.51779999999999</v>
      </c>
      <c r="K23" s="13">
        <v>133.60579999999999</v>
      </c>
      <c r="L23" s="13">
        <v>357.07260000000002</v>
      </c>
      <c r="M23" s="13">
        <v>-2.1450000000000002E-3</v>
      </c>
    </row>
    <row r="24" spans="3:13" ht="16" thickBot="1" x14ac:dyDescent="0.4">
      <c r="C24" s="13">
        <v>18</v>
      </c>
      <c r="D24" s="13" t="s">
        <v>160</v>
      </c>
      <c r="E24" s="13" t="s">
        <v>42</v>
      </c>
      <c r="F24" s="13" t="s">
        <v>44</v>
      </c>
      <c r="G24" s="13">
        <v>166.4589</v>
      </c>
      <c r="H24" s="13">
        <v>166.15860000000001</v>
      </c>
      <c r="I24" s="13">
        <v>159.05670000000001</v>
      </c>
      <c r="J24" s="13">
        <v>168.52529999999999</v>
      </c>
      <c r="K24" s="13">
        <v>136.79570000000001</v>
      </c>
      <c r="L24" s="13">
        <v>352.59780000000001</v>
      </c>
      <c r="M24" s="13">
        <v>-2.271E-3</v>
      </c>
    </row>
    <row r="25" spans="3:13" ht="16" thickBot="1" x14ac:dyDescent="0.4">
      <c r="C25" s="13">
        <v>19</v>
      </c>
      <c r="D25" s="13" t="s">
        <v>161</v>
      </c>
      <c r="E25" s="13" t="s">
        <v>47</v>
      </c>
      <c r="F25" s="13" t="s">
        <v>43</v>
      </c>
      <c r="G25" s="13" t="s">
        <v>162</v>
      </c>
      <c r="H25" s="13">
        <v>155.06110000000001</v>
      </c>
      <c r="I25" s="13" t="s">
        <v>163</v>
      </c>
      <c r="J25" s="13">
        <v>113.5329</v>
      </c>
      <c r="K25" s="13">
        <v>139.98570000000001</v>
      </c>
      <c r="L25" s="13" t="s">
        <v>164</v>
      </c>
      <c r="M25" s="13">
        <v>-2.3969999999999998E-3</v>
      </c>
    </row>
    <row r="26" spans="3:13" ht="16" thickBot="1" x14ac:dyDescent="0.4">
      <c r="C26" s="13">
        <v>20</v>
      </c>
      <c r="D26" s="13" t="s">
        <v>165</v>
      </c>
      <c r="E26" s="13" t="s">
        <v>44</v>
      </c>
      <c r="F26" s="13" t="s">
        <v>43</v>
      </c>
      <c r="G26" s="13">
        <v>145.28290000000001</v>
      </c>
      <c r="H26" s="13">
        <v>144.94919999999999</v>
      </c>
      <c r="I26" s="13">
        <v>141.12180000000001</v>
      </c>
      <c r="J26" s="13">
        <v>71.605400000000003</v>
      </c>
      <c r="K26" s="13" t="s">
        <v>166</v>
      </c>
      <c r="L26" s="13">
        <v>355.83890000000002</v>
      </c>
      <c r="M26" s="13">
        <v>-2.5230000000000001E-3</v>
      </c>
    </row>
    <row r="27" spans="3:13" ht="16" thickBot="1" x14ac:dyDescent="0.4">
      <c r="C27" s="13">
        <v>21</v>
      </c>
      <c r="D27" s="13" t="s">
        <v>167</v>
      </c>
      <c r="E27" s="13" t="s">
        <v>16</v>
      </c>
      <c r="F27" s="13" t="s">
        <v>42</v>
      </c>
      <c r="G27" s="13" t="s">
        <v>168</v>
      </c>
      <c r="H27" s="13">
        <v>133.85169999999999</v>
      </c>
      <c r="I27" s="13">
        <v>125.56610000000001</v>
      </c>
      <c r="J27" s="13">
        <v>16.6129</v>
      </c>
      <c r="K27" s="13" t="s">
        <v>169</v>
      </c>
      <c r="L27" s="13">
        <v>351.36410000000001</v>
      </c>
      <c r="M27" s="13">
        <v>-2.6489999999999999E-3</v>
      </c>
    </row>
    <row r="28" spans="3:13" ht="16" thickBot="1" x14ac:dyDescent="0.4">
      <c r="C28" s="13">
        <v>22</v>
      </c>
      <c r="D28" s="13" t="s">
        <v>170</v>
      </c>
      <c r="E28" s="13" t="s">
        <v>47</v>
      </c>
      <c r="F28" s="13" t="s">
        <v>42</v>
      </c>
      <c r="G28" s="13">
        <v>124.10680000000001</v>
      </c>
      <c r="H28" s="13">
        <v>123.7398</v>
      </c>
      <c r="I28" s="13">
        <v>123.18689999999999</v>
      </c>
      <c r="J28" s="13">
        <v>334.68549999999999</v>
      </c>
      <c r="K28" s="13">
        <v>176.01429999999999</v>
      </c>
      <c r="L28" s="13" t="s">
        <v>171</v>
      </c>
      <c r="M28" s="13">
        <v>-2.7759999999999998E-3</v>
      </c>
    </row>
    <row r="29" spans="3:13" ht="16" thickBot="1" x14ac:dyDescent="0.4">
      <c r="C29" s="13">
        <v>23</v>
      </c>
      <c r="D29" s="13" t="s">
        <v>172</v>
      </c>
      <c r="E29" s="13" t="s">
        <v>43</v>
      </c>
      <c r="F29" s="13" t="s">
        <v>16</v>
      </c>
      <c r="G29" s="13" t="s">
        <v>173</v>
      </c>
      <c r="H29" s="13">
        <v>112.64230000000001</v>
      </c>
      <c r="I29" s="13">
        <v>107.63120000000001</v>
      </c>
      <c r="J29" s="13" t="s">
        <v>174</v>
      </c>
      <c r="K29" s="13">
        <v>179.20429999999999</v>
      </c>
      <c r="L29" s="13">
        <v>354.60520000000002</v>
      </c>
      <c r="M29" s="13">
        <v>-2.9020000000000001E-3</v>
      </c>
    </row>
    <row r="30" spans="3:13" ht="16" thickBot="1" x14ac:dyDescent="0.4">
      <c r="C30" s="13">
        <v>24</v>
      </c>
      <c r="D30" s="13" t="s">
        <v>175</v>
      </c>
      <c r="E30" s="13" t="s">
        <v>50</v>
      </c>
      <c r="F30" s="13" t="s">
        <v>45</v>
      </c>
      <c r="G30" s="13">
        <v>101.9452</v>
      </c>
      <c r="H30" s="13">
        <v>101.5448</v>
      </c>
      <c r="I30" s="13">
        <v>92.075599999999994</v>
      </c>
      <c r="J30" s="13">
        <v>224.70060000000001</v>
      </c>
      <c r="K30" s="13">
        <v>182.39429999999999</v>
      </c>
      <c r="L30" s="13">
        <v>350.13040000000001</v>
      </c>
      <c r="M30" s="13">
        <v>-3.0279999999999999E-3</v>
      </c>
    </row>
    <row r="31" spans="3:13" ht="16" thickBot="1" x14ac:dyDescent="0.4">
      <c r="C31" s="13">
        <v>25</v>
      </c>
      <c r="D31" s="13" t="s">
        <v>176</v>
      </c>
      <c r="E31" s="13" t="s">
        <v>45</v>
      </c>
      <c r="F31" s="13" t="s">
        <v>45</v>
      </c>
      <c r="G31" s="13" t="s">
        <v>177</v>
      </c>
      <c r="H31" s="13">
        <v>91.432900000000004</v>
      </c>
      <c r="I31" s="13">
        <v>89.696299999999994</v>
      </c>
      <c r="J31" s="13">
        <v>182.7731</v>
      </c>
      <c r="K31" s="13">
        <v>198.81360000000001</v>
      </c>
      <c r="L31" s="13">
        <v>357.84629999999999</v>
      </c>
      <c r="M31" s="13">
        <v>-3.1540000000000001E-3</v>
      </c>
    </row>
    <row r="32" spans="3:13" ht="16" thickBot="1" x14ac:dyDescent="0.4">
      <c r="C32" s="13">
        <v>26</v>
      </c>
      <c r="D32" s="13" t="s">
        <v>178</v>
      </c>
      <c r="E32" s="13" t="s">
        <v>42</v>
      </c>
      <c r="F32" s="13" t="s">
        <v>44</v>
      </c>
      <c r="G32" s="13">
        <v>80.769099999999995</v>
      </c>
      <c r="H32" s="13">
        <v>80.335400000000007</v>
      </c>
      <c r="I32" s="13">
        <v>74.140699999999995</v>
      </c>
      <c r="J32" s="13">
        <v>127.7807</v>
      </c>
      <c r="K32" s="13">
        <v>202.0035</v>
      </c>
      <c r="L32" s="13">
        <v>353.37150000000003</v>
      </c>
      <c r="M32" s="13" t="s">
        <v>179</v>
      </c>
    </row>
    <row r="33" spans="3:13" ht="16" thickBot="1" x14ac:dyDescent="0.4">
      <c r="C33" s="13">
        <v>27</v>
      </c>
      <c r="D33" s="13" t="s">
        <v>180</v>
      </c>
      <c r="E33" s="13" t="s">
        <v>47</v>
      </c>
      <c r="F33" s="13" t="s">
        <v>43</v>
      </c>
      <c r="G33" s="13">
        <v>69.688299999999998</v>
      </c>
      <c r="H33" s="13">
        <v>69.237899999999996</v>
      </c>
      <c r="I33" s="13" t="s">
        <v>181</v>
      </c>
      <c r="J33" s="13">
        <v>72.788200000000003</v>
      </c>
      <c r="K33" s="13">
        <v>205.1935</v>
      </c>
      <c r="L33" s="13">
        <v>348.89670000000001</v>
      </c>
      <c r="M33" s="13">
        <v>-3.4060000000000002E-3</v>
      </c>
    </row>
    <row r="34" spans="3:13" ht="16" thickBot="1" x14ac:dyDescent="0.4">
      <c r="C34" s="13">
        <v>28</v>
      </c>
      <c r="D34" s="13" t="s">
        <v>182</v>
      </c>
      <c r="E34" s="13" t="s">
        <v>44</v>
      </c>
      <c r="F34" s="13" t="s">
        <v>43</v>
      </c>
      <c r="G34" s="13">
        <v>59.5931</v>
      </c>
      <c r="H34" s="13" t="s">
        <v>183</v>
      </c>
      <c r="I34" s="13">
        <v>56.205800000000004</v>
      </c>
      <c r="J34" s="13">
        <v>30.860800000000001</v>
      </c>
      <c r="K34" s="13">
        <v>221.61279999999999</v>
      </c>
      <c r="L34" s="13">
        <v>356.61259999999999</v>
      </c>
      <c r="M34" s="13">
        <v>-3.5330000000000001E-3</v>
      </c>
    </row>
    <row r="35" spans="3:13" ht="16" thickBot="1" x14ac:dyDescent="0.4">
      <c r="C35" s="13">
        <v>29</v>
      </c>
      <c r="D35" s="13" t="s">
        <v>184</v>
      </c>
      <c r="E35" s="13" t="s">
        <v>16</v>
      </c>
      <c r="F35" s="13" t="s">
        <v>42</v>
      </c>
      <c r="G35" s="13">
        <v>48.512300000000003</v>
      </c>
      <c r="H35" s="13">
        <v>48.028500000000001</v>
      </c>
      <c r="I35" s="13">
        <v>40.650100000000002</v>
      </c>
      <c r="J35" s="13">
        <v>335.86829999999998</v>
      </c>
      <c r="K35" s="13">
        <v>224.80279999999999</v>
      </c>
      <c r="L35" s="13">
        <v>352.13780000000003</v>
      </c>
      <c r="M35" s="13">
        <v>-3.6589999999999999E-3</v>
      </c>
    </row>
    <row r="36" spans="3:13" ht="16" thickBot="1" x14ac:dyDescent="0.4">
      <c r="C36" s="13">
        <v>30</v>
      </c>
      <c r="D36" s="13" t="s">
        <v>185</v>
      </c>
      <c r="E36" s="13" t="s">
        <v>47</v>
      </c>
      <c r="F36" s="13" t="s">
        <v>42</v>
      </c>
      <c r="G36" s="13">
        <v>38.417099999999998</v>
      </c>
      <c r="H36" s="13" t="s">
        <v>186</v>
      </c>
      <c r="I36" s="13">
        <v>38.270800000000001</v>
      </c>
      <c r="J36" s="13">
        <v>293.9409</v>
      </c>
      <c r="K36" s="13">
        <v>241.22210000000001</v>
      </c>
      <c r="L36" s="13">
        <v>359.8537</v>
      </c>
      <c r="M36" s="13">
        <v>-3.7850000000000002E-3</v>
      </c>
    </row>
  </sheetData>
  <mergeCells count="2">
    <mergeCell ref="C3:M3"/>
    <mergeCell ref="E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5F66-7C96-4D74-AB69-560211C266F1}">
  <dimension ref="C2:N17"/>
  <sheetViews>
    <sheetView topLeftCell="D2" workbookViewId="0">
      <selection activeCell="N7" sqref="N7"/>
    </sheetView>
  </sheetViews>
  <sheetFormatPr defaultRowHeight="14.5" x14ac:dyDescent="0.35"/>
  <cols>
    <col min="3" max="3" width="9.81640625" customWidth="1"/>
    <col min="7" max="7" width="10.6328125" customWidth="1"/>
    <col min="8" max="8" width="9.81640625" customWidth="1"/>
    <col min="9" max="9" width="10.26953125" customWidth="1"/>
    <col min="10" max="10" width="9.54296875" customWidth="1"/>
    <col min="11" max="11" width="10" customWidth="1"/>
    <col min="12" max="12" width="9.6328125" customWidth="1"/>
    <col min="13" max="13" width="11.08984375" customWidth="1"/>
    <col min="14" max="14" width="11.453125" customWidth="1"/>
  </cols>
  <sheetData>
    <row r="2" spans="3:14" ht="15" thickBot="1" x14ac:dyDescent="0.4"/>
    <row r="3" spans="3:14" ht="15" thickBot="1" x14ac:dyDescent="0.4">
      <c r="C3" s="50" t="s">
        <v>187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</row>
    <row r="4" spans="3:14" ht="15" thickBot="1" x14ac:dyDescent="0.4">
      <c r="C4" s="19" t="s">
        <v>94</v>
      </c>
      <c r="D4" s="19" t="s">
        <v>95</v>
      </c>
      <c r="E4" s="50" t="s">
        <v>96</v>
      </c>
      <c r="F4" s="52"/>
      <c r="G4" s="19" t="s">
        <v>97</v>
      </c>
      <c r="H4" s="19" t="s">
        <v>100</v>
      </c>
      <c r="I4" s="19" t="s">
        <v>99</v>
      </c>
      <c r="J4" s="19" t="s">
        <v>100</v>
      </c>
      <c r="K4" s="19" t="s">
        <v>101</v>
      </c>
      <c r="L4" s="19" t="s">
        <v>102</v>
      </c>
      <c r="M4" s="19" t="s">
        <v>103</v>
      </c>
      <c r="N4" s="19" t="s">
        <v>104</v>
      </c>
    </row>
    <row r="5" spans="3:14" ht="15" thickBot="1" x14ac:dyDescent="0.4">
      <c r="C5" s="19"/>
      <c r="D5" s="19" t="s">
        <v>105</v>
      </c>
      <c r="E5" s="19" t="s">
        <v>106</v>
      </c>
      <c r="F5" s="19" t="s">
        <v>107</v>
      </c>
      <c r="G5" s="19" t="s">
        <v>108</v>
      </c>
      <c r="H5" s="19" t="s">
        <v>109</v>
      </c>
      <c r="I5" s="19" t="s">
        <v>2</v>
      </c>
      <c r="J5" s="19" t="s">
        <v>5</v>
      </c>
      <c r="K5" s="19" t="s">
        <v>110</v>
      </c>
      <c r="L5" s="19" t="s">
        <v>111</v>
      </c>
      <c r="M5" s="19">
        <v>0</v>
      </c>
      <c r="N5" s="19" t="s">
        <v>113</v>
      </c>
    </row>
    <row r="6" spans="3:14" ht="15" thickBot="1" x14ac:dyDescent="0.4">
      <c r="C6" s="19">
        <v>1</v>
      </c>
      <c r="D6" s="19">
        <v>0</v>
      </c>
      <c r="E6" s="19">
        <v>0</v>
      </c>
      <c r="F6" s="19">
        <v>0</v>
      </c>
      <c r="G6" s="19">
        <v>38.417200000000001</v>
      </c>
      <c r="H6" s="19" t="s">
        <v>22</v>
      </c>
      <c r="I6" s="19" t="s">
        <v>22</v>
      </c>
      <c r="J6" s="19" t="s">
        <v>22</v>
      </c>
      <c r="K6" s="19" t="s">
        <v>22</v>
      </c>
      <c r="L6" s="19" t="s">
        <v>22</v>
      </c>
      <c r="M6" s="19" t="s">
        <v>22</v>
      </c>
      <c r="N6" s="19" t="s">
        <v>22</v>
      </c>
    </row>
    <row r="7" spans="3:14" ht="15" thickBot="1" x14ac:dyDescent="0.4">
      <c r="C7" s="19">
        <v>2</v>
      </c>
      <c r="D7" s="19">
        <v>30</v>
      </c>
      <c r="E7" s="19">
        <v>2</v>
      </c>
      <c r="F7" s="19">
        <v>0</v>
      </c>
      <c r="G7" s="19">
        <v>29.569400000000002</v>
      </c>
      <c r="H7" s="19">
        <v>29.568000000000001</v>
      </c>
      <c r="I7" s="19">
        <v>35.291899999999998</v>
      </c>
      <c r="J7" s="19">
        <v>31.9498</v>
      </c>
      <c r="K7" s="19">
        <v>36.880499999999998</v>
      </c>
      <c r="L7" s="19">
        <v>5.7225000000000001</v>
      </c>
      <c r="M7" s="19">
        <v>-1.1E-5</v>
      </c>
      <c r="N7" s="19">
        <v>295694</v>
      </c>
    </row>
    <row r="8" spans="3:14" ht="15" thickBot="1" x14ac:dyDescent="0.4">
      <c r="C8" s="19">
        <v>3</v>
      </c>
      <c r="D8" s="19">
        <v>59</v>
      </c>
      <c r="E8" s="19">
        <v>3</v>
      </c>
      <c r="F8" s="19">
        <v>4</v>
      </c>
      <c r="G8" s="19">
        <v>58.153199999999998</v>
      </c>
      <c r="H8" s="19">
        <v>58.150399999999998</v>
      </c>
      <c r="I8" s="19">
        <v>57.407400000000003</v>
      </c>
      <c r="J8" s="19">
        <v>50.834600000000002</v>
      </c>
      <c r="K8" s="19">
        <v>60.531700000000001</v>
      </c>
      <c r="L8" s="19">
        <v>359.25420000000003</v>
      </c>
      <c r="M8" s="19" t="s">
        <v>188</v>
      </c>
      <c r="N8" s="19">
        <v>581532</v>
      </c>
    </row>
    <row r="9" spans="3:14" ht="15" thickBot="1" x14ac:dyDescent="0.4">
      <c r="C9" s="19">
        <v>4</v>
      </c>
      <c r="D9" s="19">
        <v>89</v>
      </c>
      <c r="E9" s="19">
        <v>5</v>
      </c>
      <c r="F9" s="19">
        <v>4</v>
      </c>
      <c r="G9" s="19">
        <v>87.7226</v>
      </c>
      <c r="H9" s="19">
        <v>87.718400000000003</v>
      </c>
      <c r="I9" s="19">
        <v>92.699299999999994</v>
      </c>
      <c r="J9" s="19">
        <v>82.784400000000005</v>
      </c>
      <c r="K9" s="19">
        <v>97.412199999999999</v>
      </c>
      <c r="L9" s="19">
        <v>4.9767000000000001</v>
      </c>
      <c r="M9" s="19" t="s">
        <v>189</v>
      </c>
      <c r="N9" s="19">
        <v>87.7226</v>
      </c>
    </row>
    <row r="10" spans="3:14" ht="15" thickBot="1" x14ac:dyDescent="0.4">
      <c r="C10" s="19">
        <v>5</v>
      </c>
      <c r="D10" s="19">
        <v>118</v>
      </c>
      <c r="E10" s="19">
        <v>6</v>
      </c>
      <c r="F10" s="19">
        <v>3</v>
      </c>
      <c r="G10" s="19">
        <v>116.3064</v>
      </c>
      <c r="H10" s="19">
        <v>116.3008</v>
      </c>
      <c r="I10" s="19">
        <v>114.81480000000001</v>
      </c>
      <c r="J10" s="19">
        <v>101.669</v>
      </c>
      <c r="K10" s="19">
        <v>121.0633</v>
      </c>
      <c r="L10" s="19">
        <v>358.50839999999999</v>
      </c>
      <c r="M10" s="19" t="s">
        <v>190</v>
      </c>
      <c r="N10" s="19">
        <v>116.3064</v>
      </c>
    </row>
    <row r="11" spans="3:14" ht="15" thickBot="1" x14ac:dyDescent="0.4">
      <c r="C11" s="19">
        <v>6</v>
      </c>
      <c r="D11" s="19">
        <v>148</v>
      </c>
      <c r="E11" s="19">
        <v>1</v>
      </c>
      <c r="F11" s="19">
        <v>3</v>
      </c>
      <c r="G11" s="19">
        <v>145.8758</v>
      </c>
      <c r="H11" s="19">
        <v>145.86879999999999</v>
      </c>
      <c r="I11" s="19">
        <v>150.10669999999999</v>
      </c>
      <c r="J11" s="19">
        <v>133.619</v>
      </c>
      <c r="K11" s="19">
        <v>157.94380000000001</v>
      </c>
      <c r="L11" s="19">
        <v>4.2309000000000001</v>
      </c>
      <c r="M11" s="19" t="s">
        <v>191</v>
      </c>
      <c r="N11" s="19">
        <v>145.8758</v>
      </c>
    </row>
    <row r="12" spans="3:14" ht="15" thickBot="1" x14ac:dyDescent="0.4">
      <c r="C12" s="19">
        <v>7</v>
      </c>
      <c r="D12" s="19">
        <v>177</v>
      </c>
      <c r="E12" s="19">
        <v>2</v>
      </c>
      <c r="F12" s="19">
        <v>2</v>
      </c>
      <c r="G12" s="19">
        <v>174.45959999999999</v>
      </c>
      <c r="H12" s="19">
        <v>174.4512</v>
      </c>
      <c r="I12" s="19">
        <v>172.22219999999999</v>
      </c>
      <c r="J12" s="19">
        <v>152.50380000000001</v>
      </c>
      <c r="K12" s="19">
        <v>181.595</v>
      </c>
      <c r="L12" s="19">
        <v>357.76260000000002</v>
      </c>
      <c r="M12" s="19" t="s">
        <v>192</v>
      </c>
      <c r="N12" s="19">
        <v>174.45959999999999</v>
      </c>
    </row>
    <row r="13" spans="3:14" ht="15" thickBot="1" x14ac:dyDescent="0.4">
      <c r="C13" s="19">
        <v>8</v>
      </c>
      <c r="D13" s="19">
        <v>207</v>
      </c>
      <c r="E13" s="19">
        <v>4</v>
      </c>
      <c r="F13" s="19">
        <v>2</v>
      </c>
      <c r="G13" s="19">
        <v>204.029</v>
      </c>
      <c r="H13" s="19">
        <v>204.01929999999999</v>
      </c>
      <c r="I13" s="19">
        <v>207.51410000000001</v>
      </c>
      <c r="J13" s="19">
        <v>184.45349999999999</v>
      </c>
      <c r="K13" s="19">
        <v>218.47550000000001</v>
      </c>
      <c r="L13" s="19">
        <v>3.4851000000000001</v>
      </c>
      <c r="M13" s="19" t="s">
        <v>193</v>
      </c>
      <c r="N13" s="19">
        <v>204.029</v>
      </c>
    </row>
    <row r="14" spans="3:14" ht="15" thickBot="1" x14ac:dyDescent="0.4">
      <c r="C14" s="19">
        <v>9</v>
      </c>
      <c r="D14" s="19">
        <v>236</v>
      </c>
      <c r="E14" s="19">
        <v>5</v>
      </c>
      <c r="F14" s="19">
        <v>1</v>
      </c>
      <c r="G14" s="19">
        <v>232.61279999999999</v>
      </c>
      <c r="H14" s="19">
        <v>232.60169999999999</v>
      </c>
      <c r="I14" s="19">
        <v>229.62960000000001</v>
      </c>
      <c r="J14" s="19">
        <v>203.3383</v>
      </c>
      <c r="K14" s="19">
        <v>242.1267</v>
      </c>
      <c r="L14" s="19">
        <v>357.01679999999999</v>
      </c>
      <c r="M14" s="19" t="s">
        <v>194</v>
      </c>
      <c r="N14" s="19">
        <v>232.61279999999999</v>
      </c>
    </row>
    <row r="15" spans="3:14" ht="15" thickBot="1" x14ac:dyDescent="0.4">
      <c r="C15" s="19">
        <v>10</v>
      </c>
      <c r="D15" s="19">
        <v>266</v>
      </c>
      <c r="E15" s="19">
        <v>0</v>
      </c>
      <c r="F15" s="19">
        <v>1</v>
      </c>
      <c r="G15" s="19">
        <v>262.18220000000002</v>
      </c>
      <c r="H15" s="19">
        <v>262.16969999999998</v>
      </c>
      <c r="I15" s="19">
        <v>264.92149999999998</v>
      </c>
      <c r="J15" s="19">
        <v>235.28809999999999</v>
      </c>
      <c r="K15" s="19">
        <v>279.00720000000001</v>
      </c>
      <c r="L15" s="19">
        <v>2.7393000000000001</v>
      </c>
      <c r="M15" s="19" t="s">
        <v>195</v>
      </c>
      <c r="N15" s="19">
        <v>262.18220000000002</v>
      </c>
    </row>
    <row r="16" spans="3:14" ht="15" thickBot="1" x14ac:dyDescent="0.4">
      <c r="C16" s="19">
        <v>11</v>
      </c>
      <c r="D16" s="19">
        <v>295</v>
      </c>
      <c r="E16" s="19">
        <v>1</v>
      </c>
      <c r="F16" s="19">
        <v>0</v>
      </c>
      <c r="G16" s="19">
        <v>290.76600000000002</v>
      </c>
      <c r="H16" s="19">
        <v>290.75209999999998</v>
      </c>
      <c r="I16" s="19">
        <v>287.03699999999998</v>
      </c>
      <c r="J16" s="19">
        <v>254.1729</v>
      </c>
      <c r="K16" s="19">
        <v>302.6583</v>
      </c>
      <c r="L16" s="19">
        <v>356.27100000000002</v>
      </c>
      <c r="M16" s="19" t="s">
        <v>196</v>
      </c>
      <c r="N16" s="19">
        <v>290.76600000000002</v>
      </c>
    </row>
    <row r="17" spans="3:14" ht="15" thickBot="1" x14ac:dyDescent="0.4">
      <c r="C17" s="19">
        <v>12</v>
      </c>
      <c r="D17" s="19">
        <v>325</v>
      </c>
      <c r="E17" s="19">
        <v>3</v>
      </c>
      <c r="F17" s="19">
        <v>0</v>
      </c>
      <c r="G17" s="19">
        <v>320.33539999999999</v>
      </c>
      <c r="H17" s="19">
        <v>320.32010000000002</v>
      </c>
      <c r="I17" s="19">
        <v>322.32889999999998</v>
      </c>
      <c r="J17" s="19">
        <v>286.12270000000001</v>
      </c>
      <c r="K17" s="19">
        <v>339.53879999999998</v>
      </c>
      <c r="L17" s="19">
        <v>1.9935</v>
      </c>
      <c r="M17" s="19" t="s">
        <v>197</v>
      </c>
      <c r="N17" s="19">
        <v>320.33539999999999</v>
      </c>
    </row>
  </sheetData>
  <mergeCells count="2">
    <mergeCell ref="C3:N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tahun majmu'ah</vt:lpstr>
      <vt:lpstr>tahun mabsuthoh</vt:lpstr>
      <vt:lpstr>Bulan 158</vt:lpstr>
      <vt:lpstr>Ta'dil T1-T8</vt:lpstr>
      <vt:lpstr>hal 163</vt:lpstr>
      <vt:lpstr>Deklinasi Matahari</vt:lpstr>
      <vt:lpstr>Tahun Majmu'ah 166</vt:lpstr>
      <vt:lpstr>Tahun mabsuthoh 168</vt:lpstr>
      <vt:lpstr>Jadwal Bulan</vt:lpstr>
      <vt:lpstr>Jadwal Hari</vt:lpstr>
      <vt:lpstr>JAM</vt:lpstr>
      <vt:lpstr>MENIT</vt:lpstr>
      <vt:lpstr>DETIK</vt:lpstr>
      <vt:lpstr>Ta'dil 165-185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wifik azima</dc:creator>
  <cp:lastModifiedBy>wifik azima</cp:lastModifiedBy>
  <dcterms:created xsi:type="dcterms:W3CDTF">2024-11-19T07:37:57Z</dcterms:created>
  <dcterms:modified xsi:type="dcterms:W3CDTF">2024-11-20T17:39:34Z</dcterms:modified>
</cp:coreProperties>
</file>