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D1D09C19-D071-4627-89A5-0EB55AF11480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Key Stats" sheetId="1" r:id="rId1"/>
    <sheet name="Cash Flow Statement" sheetId="4" r:id="rId2"/>
    <sheet name="Valuation" sheetId="6" r:id="rId3"/>
    <sheet name="Working capital" sheetId="7" r:id="rId4"/>
    <sheet name="Capital Expenditures" sheetId="8" r:id="rId5"/>
    <sheet name="WACC" sheetId="9" r:id="rId6"/>
    <sheet name="Synergy" sheetId="10" r:id="rId7"/>
  </sheets>
  <definedNames>
    <definedName name="_xlnm.Print_Titles" localSheetId="1">'Cash Flow Statement'!$1:$3</definedName>
    <definedName name="_xlnm.Print_Titles" localSheetId="0">'Key Stats'!$1:$3</definedName>
  </definedNames>
  <calcPr calcId="191029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0" l="1"/>
  <c r="D6" i="10"/>
  <c r="D4" i="10"/>
  <c r="D2" i="10"/>
  <c r="D7" i="9"/>
  <c r="B13" i="6"/>
  <c r="F9" i="6"/>
  <c r="D9" i="6"/>
  <c r="D8" i="6"/>
  <c r="C9" i="6"/>
  <c r="C8" i="6"/>
  <c r="B9" i="6"/>
  <c r="B8" i="6"/>
  <c r="D19" i="1"/>
  <c r="C19" i="1"/>
  <c r="B19" i="1"/>
  <c r="F18" i="1"/>
  <c r="E18" i="1"/>
  <c r="D18" i="1"/>
  <c r="C18" i="1"/>
  <c r="B18" i="1"/>
  <c r="I19" i="1"/>
  <c r="H19" i="1"/>
  <c r="G19" i="1"/>
  <c r="F19" i="1"/>
  <c r="I18" i="1"/>
  <c r="H18" i="1"/>
  <c r="G18" i="1"/>
  <c r="B26" i="6"/>
  <c r="B24" i="6"/>
  <c r="D17" i="9"/>
  <c r="D13" i="9"/>
  <c r="D11" i="9"/>
  <c r="D9" i="9"/>
  <c r="B17" i="6" l="1"/>
  <c r="D15" i="6"/>
  <c r="C15" i="6"/>
  <c r="B15" i="6"/>
  <c r="C13" i="6" l="1"/>
  <c r="D13" i="6" s="1"/>
  <c r="D11" i="6"/>
  <c r="E11" i="6" s="1"/>
  <c r="F11" i="6" s="1"/>
  <c r="C11" i="6"/>
  <c r="B11" i="6"/>
  <c r="E13" i="6" l="1"/>
  <c r="F13" i="6" s="1"/>
  <c r="D17" i="6"/>
  <c r="C17" i="6"/>
  <c r="C10" i="8"/>
  <c r="D8" i="8"/>
  <c r="H8" i="8"/>
  <c r="G8" i="8"/>
  <c r="F8" i="8"/>
  <c r="E8" i="8"/>
  <c r="C8" i="8"/>
  <c r="C14" i="7"/>
  <c r="H12" i="7"/>
  <c r="G12" i="7"/>
  <c r="F12" i="7"/>
  <c r="E12" i="7"/>
  <c r="D12" i="7"/>
  <c r="C12" i="7"/>
  <c r="F8" i="6" l="1"/>
  <c r="E8" i="6"/>
  <c r="F5" i="6"/>
  <c r="E5" i="6"/>
  <c r="F15" i="6" l="1"/>
  <c r="F17" i="6" s="1"/>
  <c r="E15" i="6"/>
  <c r="E17" i="6" s="1"/>
  <c r="F20" i="6" l="1"/>
  <c r="B22" i="6" s="1"/>
  <c r="B28" i="6" s="1"/>
  <c r="B30" i="6" s="1"/>
</calcChain>
</file>

<file path=xl/sharedStrings.xml><?xml version="1.0" encoding="utf-8"?>
<sst xmlns="http://schemas.openxmlformats.org/spreadsheetml/2006/main" count="261" uniqueCount="145">
  <si>
    <t>Ruth's Hospitality Group, Inc. (NasdaqGS:RUTH) &gt; Financials &gt; Key Stats</t>
  </si>
  <si>
    <t>In Millions of the trading currency, except per share items.</t>
  </si>
  <si>
    <t>Currency:</t>
  </si>
  <si>
    <t>Trading Currency</t>
  </si>
  <si>
    <t> </t>
  </si>
  <si>
    <t>Conversion:</t>
  </si>
  <si>
    <t>Today's Spot Rate</t>
  </si>
  <si>
    <t>Order:</t>
  </si>
  <si>
    <t>Latest on Right</t>
  </si>
  <si>
    <t>Units:</t>
  </si>
  <si>
    <t>S&amp;P Capital IQ (Default)</t>
  </si>
  <si>
    <t>Decimals:</t>
  </si>
  <si>
    <t>Capital IQ (Default)</t>
  </si>
  <si>
    <t>Dilution:</t>
  </si>
  <si>
    <t>Basic</t>
  </si>
  <si>
    <t>Key Financials¹</t>
  </si>
  <si>
    <t xml:space="preserve">For the Fiscal Period Ending
</t>
  </si>
  <si>
    <t>12 months
Dec-31-2017A</t>
  </si>
  <si>
    <t>12 months
Dec-30-2018A</t>
  </si>
  <si>
    <t>12 months
Dec-29-2019A</t>
  </si>
  <si>
    <t>12 months
Dec-27-2020A</t>
  </si>
  <si>
    <t>LTM²
12 months
Jun-27-2021A</t>
  </si>
  <si>
    <t>12 months†
Dec-31-2021E</t>
  </si>
  <si>
    <t>12 months
Dec-31-2022E</t>
  </si>
  <si>
    <t>12 months
Dec-31-2023E</t>
  </si>
  <si>
    <t>Currency</t>
  </si>
  <si>
    <t>USD</t>
  </si>
  <si>
    <t>Total Revenue</t>
  </si>
  <si>
    <t xml:space="preserve">  Growth Over Prior Year</t>
  </si>
  <si>
    <t>-</t>
  </si>
  <si>
    <t xml:space="preserve">  Margin %</t>
  </si>
  <si>
    <t>EBITDA</t>
  </si>
  <si>
    <t>Latest Capitalization (Millions of USD)</t>
  </si>
  <si>
    <t>Share Price</t>
  </si>
  <si>
    <t>Shares Out.</t>
  </si>
  <si>
    <t>Market Capitalization</t>
  </si>
  <si>
    <t>- Cash &amp; Short Term Investments</t>
  </si>
  <si>
    <t>+ Total Debt</t>
  </si>
  <si>
    <t>+ Pref. Equity</t>
  </si>
  <si>
    <t>+ Total Minority Interest</t>
  </si>
  <si>
    <t>- Long Term Marketable Securities</t>
  </si>
  <si>
    <t>= Total Enterprise Value (TEV)</t>
  </si>
  <si>
    <t>Book Value of Common Equity</t>
  </si>
  <si>
    <t>= Total Capital</t>
  </si>
  <si>
    <t xml:space="preserve">
               </t>
  </si>
  <si>
    <t>Standard</t>
  </si>
  <si>
    <t>Latest Filings</t>
  </si>
  <si>
    <t>Annual</t>
  </si>
  <si>
    <t>Reported Currency</t>
  </si>
  <si>
    <t>Capital IQ &amp; Proprietary Data</t>
  </si>
  <si>
    <t>12 months
Dec-25-2016</t>
  </si>
  <si>
    <t>12 months
Dec-29-2019</t>
  </si>
  <si>
    <t>12 months
Dec-27-2020</t>
  </si>
  <si>
    <t>LTM
12 months
Jun-27-2021</t>
  </si>
  <si>
    <t xml:space="preserve"> </t>
  </si>
  <si>
    <t>Supplemental Items</t>
  </si>
  <si>
    <t>NA</t>
  </si>
  <si>
    <t>Filing Date</t>
  </si>
  <si>
    <t>Restatement Type</t>
  </si>
  <si>
    <t>NC</t>
  </si>
  <si>
    <t>O</t>
  </si>
  <si>
    <t>Calculation Type</t>
  </si>
  <si>
    <t>REP</t>
  </si>
  <si>
    <t>LTM</t>
  </si>
  <si>
    <t>Ruth's Hospitality Group, Inc. (NasdaqGS:RUTH) &gt; Financials &gt; Cash Flow</t>
  </si>
  <si>
    <t>In Millions of the reported currency, except per share items.</t>
  </si>
  <si>
    <t>Template:</t>
  </si>
  <si>
    <t>Restatement:</t>
  </si>
  <si>
    <t>Period Type:</t>
  </si>
  <si>
    <t>Order:</t>
  </si>
  <si>
    <t>Currency:</t>
  </si>
  <si>
    <t>Conversion:</t>
  </si>
  <si>
    <t>Units:</t>
  </si>
  <si>
    <t>Decimals:</t>
  </si>
  <si>
    <t>Source:</t>
  </si>
  <si>
    <t>Cash Flow</t>
  </si>
  <si>
    <t>12 months
Dec-31-2017</t>
  </si>
  <si>
    <t>12 months
Dec-30-2018</t>
  </si>
  <si>
    <t>Change in Acc. Receivable</t>
  </si>
  <si>
    <t>Change In Inventories</t>
  </si>
  <si>
    <t>Change in Acc. Payable</t>
  </si>
  <si>
    <t>Change in Unearned Rev.</t>
  </si>
  <si>
    <t>Change in Other Net Operating Assets</t>
  </si>
  <si>
    <t xml:space="preserve">  Cash from Ops.</t>
  </si>
  <si>
    <t>Capital Expenditure</t>
  </si>
  <si>
    <t>Sale of Property, Plant, and Equipment</t>
  </si>
  <si>
    <t>Cash Acquisitions</t>
  </si>
  <si>
    <t>Divestitures</t>
  </si>
  <si>
    <t>Invest. in Marketable &amp; Equity Securt.</t>
  </si>
  <si>
    <t>Net (Inc.) Dec. in Loans Originated/Sold</t>
  </si>
  <si>
    <t>Other Investing Activities</t>
  </si>
  <si>
    <t xml:space="preserve">  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</si>
  <si>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</si>
  <si>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</si>
  <si>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</si>
  <si>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</si>
  <si>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</si>
  <si>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</si>
  <si>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Issuance of Common Stock</t>
  </si>
  <si>
    <t>Repurchase of Common Stock</t>
  </si>
  <si>
    <t>Common Dividends Paid</t>
  </si>
  <si>
    <t>Total Dividends Paid</t>
  </si>
  <si>
    <t>Special Dividend Paid</t>
  </si>
  <si>
    <t>Other Financing Activities</t>
  </si>
  <si>
    <t xml:space="preserve">  Cash from Financing</t>
  </si>
  <si>
    <t xml:space="preserve">  Net Change in Cash</t>
  </si>
  <si>
    <t>Cash Interest Paid</t>
  </si>
  <si>
    <t>Cash Taxes Paid</t>
  </si>
  <si>
    <t>Levered Free Cash Flow</t>
  </si>
  <si>
    <t>Unlevered Free Cash Flow</t>
  </si>
  <si>
    <t>Change in Net Working Capital</t>
  </si>
  <si>
    <t>Net Debt Issued</t>
  </si>
  <si>
    <t>12 months
Dec-31-2024E</t>
  </si>
  <si>
    <t>12 months
Dec-31-2025E</t>
  </si>
  <si>
    <t>Total change in working capital</t>
  </si>
  <si>
    <t>5-year average (until Dec, 2020)</t>
  </si>
  <si>
    <t xml:space="preserve">  5-year average (until Dec 2019)</t>
  </si>
  <si>
    <t>I eliminate Dec 2020, looks unusual due to Covid</t>
  </si>
  <si>
    <t>Capital Expenditures</t>
  </si>
  <si>
    <t>Increase in working capital</t>
  </si>
  <si>
    <t>Taxes</t>
  </si>
  <si>
    <t>Free cash flows</t>
  </si>
  <si>
    <t>30-year treasury</t>
  </si>
  <si>
    <t>Beta</t>
  </si>
  <si>
    <t>rD</t>
  </si>
  <si>
    <t>Leverage (D/V)</t>
  </si>
  <si>
    <t>Shrunk Beta</t>
  </si>
  <si>
    <t>(leverage is close to the market's)</t>
  </si>
  <si>
    <t>rE</t>
  </si>
  <si>
    <t>Tax</t>
  </si>
  <si>
    <t>WACC</t>
  </si>
  <si>
    <t>Long-term growth</t>
  </si>
  <si>
    <t>Terminal value</t>
  </si>
  <si>
    <t>Enterprise value</t>
  </si>
  <si>
    <t>Debt</t>
  </si>
  <si>
    <t>Cash</t>
  </si>
  <si>
    <t>Equity value</t>
  </si>
  <si>
    <t>Stock price</t>
  </si>
  <si>
    <t>(using spread of 2%)</t>
  </si>
  <si>
    <t>Offer in dollars</t>
  </si>
  <si>
    <t>Justified equity value</t>
  </si>
  <si>
    <t>Required synergy NPV</t>
  </si>
  <si>
    <t>Annual synergy</t>
  </si>
  <si>
    <t>Growth rate</t>
  </si>
  <si>
    <t>Synergy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</si>
</sst>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7" formatCode="&quot;$&quot;#,##0.00_);\(&quot;$&quot;#,##0.00\)"/>
    <numFmt numFmtId="43" formatCode="_(* #,##0.00_);_(* \(#,##0.00\);_(* &quot;-&quot;??_);_(@_)"/>
    <numFmt numFmtId="164" formatCode="_(* #,##0.0_);_(* \(#,##0.0\)_)\ ;_(* 0_)"/>
    <numFmt numFmtId="165" formatCode="_(#,##0.0%_);_(\(#,##0.0%\)_);_(#,##0.0%_)"/>
    <numFmt numFmtId="166" formatCode="_(* #,##0.0#_);_(* \(#,##0.0#\)_)\ ;_(* 0_)"/>
    <numFmt numFmtId="167" formatCode="_(#,##0.00%_);_(\(#,##0.00%\)_);_(#,##0.00%_)"/>
    <numFmt numFmtId="168" formatCode="_(&quot;$&quot;#,##0.0#_);_(\(&quot;$&quot;#,##0.0#\)_);_(&quot;$&quot;&quot; - &quot;_)"/>
    <numFmt numFmtId="169" formatCode="mmm\-dd\-yyyy"/>
    <numFmt numFmtId="170" formatCode="0.00_);\(0.00\)"/>
    <numFmt numFmtId="171" formatCode="0.0%"/>
    <numFmt numFmtId="172" formatCode="0.000%"/>
    <numFmt numFmtId="173" formatCode="0.0"/>
    <numFmt numFmtId="174" formatCode="&quot;$&quot;#,##0.0"/>
  </numFmts>
  <fonts count="29" x14ac:knownFonts="1">
    <font>
      <sz val="10"/>
      <name val="Arial"/>
    </font>
    <font>
      <sz val="8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  <font>
      <i/>
      <sz val="8"/>
      <name val="Arial"/>
    </font>
    <font>
      <b/>
      <sz val="8"/>
      <name val="Arial"/>
    </font>
    <font>
      <b/>
      <i/>
      <sz val="8"/>
      <color indexed="8"/>
      <name val="Arial"/>
    </font>
    <font>
      <b/>
      <u val="double"/>
      <sz val="8"/>
      <color indexed="8"/>
      <name val="Arial"/>
    </font>
    <font>
      <b/>
      <sz val="11"/>
      <color indexed="9"/>
      <name val="Verdana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b/>
      <sz val="11"/>
      <name val="Arial"/>
      <family val="2"/>
    </font>
    <font>
      <b/>
      <i/>
      <sz val="11"/>
      <color indexed="8"/>
      <name val="Arial"/>
      <family val="2"/>
    </font>
    <font>
      <b/>
      <sz val="12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59">
    <xf numFmtId="0" fontId="1" fillId="0" borderId="0" xfId="0" applyFont="1"/>
    <xf numFmtId="0" fontId="2" fillId="0" borderId="0" xfId="0" applyNumberFormat="1" applyFont="1" applyAlignment="1"/>
    <xf numFmtId="0" fontId="16" fillId="0" borderId="0" xfId="0" applyFont="1" applyAlignment="1">
      <alignment wrapText="1"/>
    </xf>
    <xf numFmtId="0" fontId="17" fillId="0" borderId="0" xfId="0" applyFont="1"/>
    <xf numFmtId="0" fontId="8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6" fillId="4" borderId="0" xfId="0" applyFont="1" applyFill="1" applyAlignment="1"/>
    <xf numFmtId="0" fontId="11" fillId="5" borderId="0" xfId="0" applyFont="1" applyFill="1" applyAlignment="1">
      <alignment wrapText="1"/>
    </xf>
    <xf numFmtId="0" fontId="18" fillId="5" borderId="0" xfId="0" applyFont="1" applyFill="1" applyAlignment="1">
      <alignment wrapText="1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1" fillId="5" borderId="0" xfId="0" applyFont="1" applyFill="1" applyAlignment="1">
      <alignment horizontal="right" wrapText="1"/>
    </xf>
    <xf numFmtId="0" fontId="18" fillId="5" borderId="0" xfId="0" applyFont="1" applyFill="1" applyAlignment="1">
      <alignment horizontal="right" wrapText="1"/>
    </xf>
    <xf numFmtId="164" fontId="11" fillId="0" borderId="0" xfId="0" applyNumberFormat="1" applyFont="1" applyAlignment="1">
      <alignment horizontal="right" vertical="top" wrapText="1"/>
    </xf>
    <xf numFmtId="165" fontId="12" fillId="0" borderId="0" xfId="0" applyNumberFormat="1" applyFont="1" applyAlignment="1">
      <alignment horizontal="right" vertical="top" wrapText="1"/>
    </xf>
    <xf numFmtId="166" fontId="11" fillId="0" borderId="0" xfId="0" applyNumberFormat="1" applyFont="1" applyAlignment="1">
      <alignment horizontal="right" vertical="top" wrapText="1"/>
    </xf>
    <xf numFmtId="167" fontId="12" fillId="0" borderId="0" xfId="0" applyNumberFormat="1" applyFont="1" applyAlignment="1">
      <alignment horizontal="right" vertical="top" wrapText="1"/>
    </xf>
    <xf numFmtId="168" fontId="8" fillId="0" borderId="0" xfId="0" applyNumberFormat="1" applyFont="1" applyAlignment="1">
      <alignment horizontal="right" vertical="top" wrapText="1"/>
    </xf>
    <xf numFmtId="164" fontId="8" fillId="0" borderId="0" xfId="0" applyNumberFormat="1" applyFont="1" applyAlignment="1">
      <alignment horizontal="right" vertical="top" wrapText="1"/>
    </xf>
    <xf numFmtId="49" fontId="8" fillId="0" borderId="0" xfId="0" applyNumberFormat="1" applyFont="1" applyAlignment="1">
      <alignment horizontal="right" vertical="top" wrapText="1"/>
    </xf>
    <xf numFmtId="0" fontId="8" fillId="0" borderId="0" xfId="0" applyNumberFormat="1" applyFont="1" applyAlignment="1">
      <alignment horizontal="left" vertical="center"/>
    </xf>
    <xf numFmtId="164" fontId="11" fillId="0" borderId="1" xfId="0" applyNumberFormat="1" applyFont="1" applyBorder="1" applyAlignment="1">
      <alignment horizontal="right" vertical="top" wrapText="1"/>
    </xf>
    <xf numFmtId="164" fontId="19" fillId="0" borderId="1" xfId="0" applyNumberFormat="1" applyFont="1" applyBorder="1" applyAlignment="1">
      <alignment horizontal="right" vertical="top" wrapText="1"/>
    </xf>
    <xf numFmtId="169" fontId="8" fillId="0" borderId="0" xfId="0" applyNumberFormat="1" applyFont="1" applyAlignment="1">
      <alignment horizontal="right" vertical="top" wrapText="1"/>
    </xf>
    <xf numFmtId="0" fontId="8" fillId="0" borderId="0" xfId="0" applyNumberFormat="1" applyFont="1" applyAlignment="1">
      <alignment horizontal="center" vertical="center" wrapText="1"/>
    </xf>
    <xf numFmtId="0" fontId="13" fillId="0" borderId="0" xfId="13" applyFont="1" applyAlignment="1"/>
    <xf numFmtId="0" fontId="20" fillId="4" borderId="0" xfId="0" applyFont="1" applyFill="1" applyAlignment="1"/>
    <xf numFmtId="0" fontId="21" fillId="0" borderId="0" xfId="0" applyFont="1"/>
    <xf numFmtId="0" fontId="22" fillId="5" borderId="0" xfId="0" applyFont="1" applyFill="1" applyAlignment="1">
      <alignment wrapText="1"/>
    </xf>
    <xf numFmtId="0" fontId="22" fillId="5" borderId="0" xfId="0" applyFont="1" applyFill="1" applyAlignment="1">
      <alignment horizontal="right" wrapText="1"/>
    </xf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/>
    </xf>
    <xf numFmtId="167" fontId="24" fillId="0" borderId="0" xfId="0" applyNumberFormat="1" applyFont="1" applyAlignment="1">
      <alignment horizontal="right" vertical="top" wrapText="1"/>
    </xf>
    <xf numFmtId="43" fontId="25" fillId="0" borderId="0" xfId="0" applyNumberFormat="1" applyFont="1"/>
    <xf numFmtId="167" fontId="26" fillId="0" borderId="0" xfId="0" applyNumberFormat="1" applyFont="1" applyAlignment="1">
      <alignment horizontal="right" vertical="top" wrapText="1"/>
    </xf>
    <xf numFmtId="39" fontId="22" fillId="0" borderId="0" xfId="0" applyNumberFormat="1" applyFont="1" applyAlignment="1">
      <alignment horizontal="right" vertical="top" wrapText="1"/>
    </xf>
    <xf numFmtId="164" fontId="23" fillId="0" borderId="0" xfId="0" applyNumberFormat="1" applyFont="1" applyAlignment="1">
      <alignment horizontal="right" vertical="top" wrapText="1"/>
    </xf>
    <xf numFmtId="164" fontId="21" fillId="0" borderId="0" xfId="0" applyNumberFormat="1" applyFont="1"/>
    <xf numFmtId="164" fontId="22" fillId="0" borderId="1" xfId="0" applyNumberFormat="1" applyFont="1" applyBorder="1" applyAlignment="1">
      <alignment horizontal="right" vertical="top" wrapText="1"/>
    </xf>
    <xf numFmtId="170" fontId="22" fillId="0" borderId="1" xfId="0" applyNumberFormat="1" applyFont="1" applyBorder="1" applyAlignment="1">
      <alignment horizontal="right" vertical="top" wrapText="1"/>
    </xf>
    <xf numFmtId="164" fontId="25" fillId="0" borderId="0" xfId="0" applyNumberFormat="1" applyFont="1"/>
    <xf numFmtId="164" fontId="27" fillId="0" borderId="0" xfId="0" applyNumberFormat="1" applyFont="1"/>
    <xf numFmtId="0" fontId="25" fillId="0" borderId="0" xfId="0" applyFont="1"/>
    <xf numFmtId="170" fontId="21" fillId="0" borderId="0" xfId="0" applyNumberFormat="1" applyFont="1"/>
    <xf numFmtId="170" fontId="25" fillId="0" borderId="0" xfId="0" applyNumberFormat="1" applyFont="1"/>
    <xf numFmtId="9" fontId="21" fillId="0" borderId="0" xfId="0" applyNumberFormat="1" applyFont="1"/>
    <xf numFmtId="171" fontId="21" fillId="0" borderId="0" xfId="0" applyNumberFormat="1" applyFont="1"/>
    <xf numFmtId="172" fontId="21" fillId="0" borderId="0" xfId="0" applyNumberFormat="1" applyFont="1"/>
    <xf numFmtId="10" fontId="25" fillId="0" borderId="0" xfId="0" applyNumberFormat="1" applyFont="1"/>
    <xf numFmtId="166" fontId="23" fillId="0" borderId="0" xfId="0" applyNumberFormat="1" applyFont="1" applyAlignment="1">
      <alignment horizontal="right" vertical="top" wrapText="1"/>
    </xf>
    <xf numFmtId="2" fontId="25" fillId="0" borderId="0" xfId="0" applyNumberFormat="1" applyFont="1"/>
    <xf numFmtId="173" fontId="25" fillId="0" borderId="0" xfId="0" applyNumberFormat="1" applyFont="1"/>
    <xf numFmtId="174" fontId="25" fillId="0" borderId="0" xfId="0" applyNumberFormat="1" applyFont="1"/>
    <xf numFmtId="165" fontId="28" fillId="0" borderId="0" xfId="0" applyNumberFormat="1" applyFont="1" applyAlignment="1">
      <alignment horizontal="right" vertical="top" wrapText="1"/>
    </xf>
    <xf numFmtId="7" fontId="1" fillId="0" borderId="0" xfId="0" applyNumberFormat="1" applyFont="1"/>
    <xf numFmtId="43" fontId="1" fillId="0" borderId="0" xfId="0" applyNumberFormat="1" applyFont="1"/>
  </cellXfs>
  <cellStyles count="19">
    <cellStyle name="ChartingText" xfId="14" xr:uid="{00000000-0005-0000-0000-000000000000}"/>
    <cellStyle name="CHPAboveAverage" xfId="15" xr:uid="{00000000-0005-0000-0000-000001000000}"/>
    <cellStyle name="CHPBelowAverage" xfId="15" xr:uid="{00000000-0005-0000-0000-000002000000}"/>
    <cellStyle name="CHPBottom" xfId="15" xr:uid="{00000000-0005-0000-0000-000003000000}"/>
    <cellStyle name="CHPTop" xfId="15" xr:uid="{00000000-0005-0000-0000-000004000000}"/>
    <cellStyle name="ColumnHeaderNormal" xfId="6" xr:uid="{00000000-0005-0000-0000-000005000000}"/>
    <cellStyle name="Invisible" xfId="13" xr:uid="{00000000-0005-0000-0000-000006000000}"/>
    <cellStyle name="NewColumnHeaderNormal" xfId="4" xr:uid="{00000000-0005-0000-0000-000007000000}"/>
    <cellStyle name="NewSectionHeaderNormal" xfId="3" xr:uid="{00000000-0005-0000-0000-000008000000}"/>
    <cellStyle name="NewTitleNormal" xfId="2" xr:uid="{00000000-0005-0000-0000-000009000000}"/>
    <cellStyle name="Normal" xfId="0" builtinId="0"/>
    <cellStyle name="SectionHeaderNormal" xfId="5" xr:uid="{00000000-0005-0000-0000-00000B000000}"/>
    <cellStyle name="SubScript" xfId="9" xr:uid="{00000000-0005-0000-0000-00000C000000}"/>
    <cellStyle name="SuperScript" xfId="8" xr:uid="{00000000-0005-0000-0000-00000D000000}"/>
    <cellStyle name="TextBold" xfId="10" xr:uid="{00000000-0005-0000-0000-00000E000000}"/>
    <cellStyle name="TextItalic" xfId="11" xr:uid="{00000000-0005-0000-0000-00000F000000}"/>
    <cellStyle name="TextNormal" xfId="7" xr:uid="{00000000-0005-0000-0000-000010000000}"/>
    <cellStyle name="TitleNormal" xfId="1" xr:uid="{00000000-0005-0000-0000-000011000000}"/>
    <cellStyle name="Total" xfId="1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981075</xdr:colOff>
      <xdr:row>2</xdr:row>
      <xdr:rowOff>90488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EF20EA2-0189-4A33-A0BD-CDC3AD5D8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1075" cy="347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981075</xdr:colOff>
      <xdr:row>2</xdr:row>
      <xdr:rowOff>90488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CA6A972F-70A2-4273-A3CB-1AA090C1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1075" cy="347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5:IU40"/>
  <sheetViews>
    <sheetView topLeftCell="A4" workbookViewId="0">
      <selection activeCell="D24" sqref="D24"/>
    </sheetView>
  </sheetViews>
  <sheetFormatPr defaultRowHeight="10.15" x14ac:dyDescent="0.3"/>
  <cols>
    <col min="1" max="1" width="22.796875" customWidth="1"/>
    <col min="2" max="9" width="14.796875" customWidth="1"/>
  </cols>
  <sheetData>
    <row r="5" spans="1:255" ht="16.149999999999999" x14ac:dyDescent="0.4">
      <c r="A5" s="1" t="s">
        <v>0</v>
      </c>
    </row>
    <row r="7" spans="1:255" ht="20.25" x14ac:dyDescent="0.3">
      <c r="A7" s="2" t="s">
        <v>1</v>
      </c>
      <c r="B7" s="3" t="s">
        <v>2</v>
      </c>
      <c r="C7" t="s">
        <v>3</v>
      </c>
      <c r="D7" s="4" t="s">
        <v>4</v>
      </c>
      <c r="E7" s="3" t="s">
        <v>5</v>
      </c>
      <c r="F7" t="s">
        <v>6</v>
      </c>
    </row>
    <row r="8" spans="1:255" x14ac:dyDescent="0.3">
      <c r="A8" s="4"/>
      <c r="B8" s="3" t="s">
        <v>7</v>
      </c>
      <c r="C8" t="s">
        <v>8</v>
      </c>
      <c r="D8" s="4" t="s">
        <v>4</v>
      </c>
      <c r="E8" s="3" t="s">
        <v>9</v>
      </c>
      <c r="F8" t="s">
        <v>10</v>
      </c>
    </row>
    <row r="9" spans="1:255" x14ac:dyDescent="0.3">
      <c r="A9" s="4"/>
      <c r="B9" s="3" t="s">
        <v>11</v>
      </c>
      <c r="C9" s="5" t="s">
        <v>12</v>
      </c>
      <c r="D9" s="4" t="s">
        <v>4</v>
      </c>
      <c r="E9" s="3" t="s">
        <v>13</v>
      </c>
      <c r="F9" t="s">
        <v>14</v>
      </c>
    </row>
    <row r="12" spans="1:255" x14ac:dyDescent="0.3">
      <c r="A12" s="6" t="s">
        <v>15</v>
      </c>
      <c r="B12" s="6"/>
      <c r="C12" s="6"/>
      <c r="D12" s="6"/>
      <c r="E12" s="6"/>
      <c r="F12" s="6"/>
      <c r="G12" s="6"/>
      <c r="H12" s="6"/>
      <c r="I12" s="6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</row>
    <row r="13" spans="1:255" ht="30.4" x14ac:dyDescent="0.3">
      <c r="A13" s="7" t="s">
        <v>16</v>
      </c>
      <c r="B13" s="13" t="s">
        <v>17</v>
      </c>
      <c r="C13" s="13" t="s">
        <v>18</v>
      </c>
      <c r="D13" s="13" t="s">
        <v>19</v>
      </c>
      <c r="E13" s="13" t="s">
        <v>20</v>
      </c>
      <c r="F13" s="13" t="s">
        <v>21</v>
      </c>
      <c r="G13" s="13" t="s">
        <v>22</v>
      </c>
      <c r="H13" s="13" t="s">
        <v>23</v>
      </c>
      <c r="I13" s="13" t="s">
        <v>24</v>
      </c>
    </row>
    <row r="14" spans="1:255" x14ac:dyDescent="0.3">
      <c r="A14" s="9"/>
      <c r="B14" s="11"/>
      <c r="C14" s="11"/>
      <c r="D14" s="11"/>
      <c r="E14" s="11"/>
      <c r="F14" s="11"/>
      <c r="G14" s="11"/>
      <c r="H14" s="11"/>
      <c r="I14" s="11"/>
    </row>
    <row r="15" spans="1:255" x14ac:dyDescent="0.3">
      <c r="A15" s="9" t="s">
        <v>27</v>
      </c>
      <c r="B15" s="15">
        <v>414.82299999999998</v>
      </c>
      <c r="C15" s="15">
        <v>452.334</v>
      </c>
      <c r="D15" s="15">
        <v>468.02600000000001</v>
      </c>
      <c r="E15" s="15">
        <v>277.74799999999999</v>
      </c>
      <c r="F15" s="15">
        <v>338.988</v>
      </c>
      <c r="G15" s="17">
        <v>428.17219999999998</v>
      </c>
      <c r="H15" s="17">
        <v>481.178</v>
      </c>
      <c r="I15" s="17">
        <v>512.4</v>
      </c>
    </row>
    <row r="16" spans="1:255" x14ac:dyDescent="0.3">
      <c r="A16" s="10" t="s">
        <v>28</v>
      </c>
      <c r="B16" s="16">
        <v>7.4817999999999996E-2</v>
      </c>
      <c r="C16" s="16">
        <v>9.0426000000000006E-2</v>
      </c>
      <c r="D16" s="16">
        <v>3.4691E-2</v>
      </c>
      <c r="E16" s="16">
        <v>-0.406555</v>
      </c>
      <c r="F16" s="16">
        <v>-9.6019999999999994E-2</v>
      </c>
      <c r="G16" s="18">
        <v>0.54158517793100003</v>
      </c>
      <c r="H16" s="18">
        <v>0.12379551965299999</v>
      </c>
      <c r="I16" s="18">
        <v>6.4886590825000007E-2</v>
      </c>
    </row>
    <row r="17" spans="1:255" x14ac:dyDescent="0.3">
      <c r="A17" s="11"/>
      <c r="B17" s="11"/>
      <c r="C17" s="11"/>
      <c r="D17" s="11"/>
      <c r="E17" s="11"/>
      <c r="F17" s="11"/>
      <c r="G17" s="11"/>
      <c r="H17" s="11"/>
      <c r="I17" s="11"/>
    </row>
    <row r="18" spans="1:255" x14ac:dyDescent="0.3">
      <c r="A18" s="9" t="s">
        <v>31</v>
      </c>
      <c r="B18" s="15">
        <f>65.588+25</f>
        <v>90.587999999999994</v>
      </c>
      <c r="C18" s="15">
        <f>70.276+25</f>
        <v>95.275999999999996</v>
      </c>
      <c r="D18" s="15">
        <f>74.351+25</f>
        <v>99.350999999999999</v>
      </c>
      <c r="E18" s="15">
        <f>9.8+25</f>
        <v>34.799999999999997</v>
      </c>
      <c r="F18" s="15">
        <f>53+25</f>
        <v>78</v>
      </c>
      <c r="G18" s="17">
        <f>71.525+25</f>
        <v>96.525000000000006</v>
      </c>
      <c r="H18" s="17">
        <f>87+25</f>
        <v>112</v>
      </c>
      <c r="I18" s="17">
        <f>94.65+25</f>
        <v>119.65</v>
      </c>
    </row>
    <row r="19" spans="1:255" x14ac:dyDescent="0.3">
      <c r="A19" s="10" t="s">
        <v>30</v>
      </c>
      <c r="B19" s="16">
        <f>B18/B15</f>
        <v>0.21837747665871951</v>
      </c>
      <c r="C19" s="16">
        <f t="shared" ref="C19:D19" si="0">C18/C15</f>
        <v>0.21063196664411696</v>
      </c>
      <c r="D19" s="16">
        <f t="shared" si="0"/>
        <v>0.21227666839021764</v>
      </c>
      <c r="E19" s="56" t="s">
        <v>56</v>
      </c>
      <c r="F19" s="16">
        <f>F18/F15</f>
        <v>0.23009664058904741</v>
      </c>
      <c r="G19" s="18">
        <f>G18/G15</f>
        <v>0.22543500021720236</v>
      </c>
      <c r="H19" s="18">
        <f>H18/H15</f>
        <v>0.23276209635519496</v>
      </c>
      <c r="I19" s="18">
        <f>I18/I15</f>
        <v>0.23350897736143639</v>
      </c>
    </row>
    <row r="20" spans="1:255" x14ac:dyDescent="0.3">
      <c r="A20" s="11"/>
      <c r="B20" s="11"/>
      <c r="C20" s="11"/>
      <c r="D20" s="11"/>
      <c r="E20" s="11"/>
      <c r="F20" s="11"/>
      <c r="G20" s="11"/>
      <c r="H20" s="11"/>
      <c r="I20" s="11"/>
    </row>
    <row r="22" spans="1:255" x14ac:dyDescent="0.3">
      <c r="A22" s="6" t="s">
        <v>32</v>
      </c>
      <c r="B22" s="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</row>
    <row r="23" spans="1:255" x14ac:dyDescent="0.3">
      <c r="A23" s="8" t="s">
        <v>25</v>
      </c>
      <c r="B23" s="14" t="s">
        <v>26</v>
      </c>
    </row>
    <row r="24" spans="1:255" x14ac:dyDescent="0.3">
      <c r="A24" s="11" t="s">
        <v>33</v>
      </c>
      <c r="B24" s="19">
        <v>21.33</v>
      </c>
      <c r="C24" s="57"/>
      <c r="D24" s="57"/>
    </row>
    <row r="25" spans="1:255" x14ac:dyDescent="0.3">
      <c r="A25" s="11" t="s">
        <v>34</v>
      </c>
      <c r="B25" s="20">
        <v>34.205435999999999</v>
      </c>
    </row>
    <row r="26" spans="1:255" x14ac:dyDescent="0.3">
      <c r="A26" s="11"/>
      <c r="B26" s="11"/>
    </row>
    <row r="27" spans="1:255" x14ac:dyDescent="0.3">
      <c r="A27" s="9" t="s">
        <v>35</v>
      </c>
      <c r="B27" s="15">
        <v>729.60194899999999</v>
      </c>
      <c r="D27" s="58"/>
    </row>
    <row r="28" spans="1:255" x14ac:dyDescent="0.3">
      <c r="A28" s="11" t="s">
        <v>36</v>
      </c>
      <c r="B28" s="20">
        <v>87.338999999999999</v>
      </c>
    </row>
    <row r="29" spans="1:255" x14ac:dyDescent="0.3">
      <c r="A29" s="11" t="s">
        <v>37</v>
      </c>
      <c r="B29" s="20">
        <v>279.834</v>
      </c>
    </row>
    <row r="30" spans="1:255" x14ac:dyDescent="0.3">
      <c r="A30" s="11" t="s">
        <v>38</v>
      </c>
      <c r="B30" s="20" t="s">
        <v>29</v>
      </c>
    </row>
    <row r="31" spans="1:255" x14ac:dyDescent="0.3">
      <c r="A31" s="11" t="s">
        <v>39</v>
      </c>
      <c r="B31" s="20" t="s">
        <v>29</v>
      </c>
    </row>
    <row r="32" spans="1:255" x14ac:dyDescent="0.3">
      <c r="A32" s="11" t="s">
        <v>40</v>
      </c>
      <c r="B32" s="20" t="s">
        <v>29</v>
      </c>
    </row>
    <row r="33" spans="1:2" x14ac:dyDescent="0.3">
      <c r="A33" s="9" t="s">
        <v>41</v>
      </c>
      <c r="B33" s="15">
        <v>922.096949</v>
      </c>
    </row>
    <row r="34" spans="1:2" x14ac:dyDescent="0.3">
      <c r="A34" s="11"/>
      <c r="B34" s="11"/>
    </row>
    <row r="35" spans="1:2" x14ac:dyDescent="0.3">
      <c r="A35" s="11" t="s">
        <v>42</v>
      </c>
      <c r="B35" s="20">
        <v>129.31</v>
      </c>
    </row>
    <row r="36" spans="1:2" x14ac:dyDescent="0.3">
      <c r="A36" s="11" t="s">
        <v>38</v>
      </c>
      <c r="B36" s="20" t="s">
        <v>29</v>
      </c>
    </row>
    <row r="37" spans="1:2" x14ac:dyDescent="0.3">
      <c r="A37" s="11" t="s">
        <v>39</v>
      </c>
      <c r="B37" s="20" t="s">
        <v>29</v>
      </c>
    </row>
    <row r="38" spans="1:2" x14ac:dyDescent="0.3">
      <c r="A38" s="11" t="s">
        <v>37</v>
      </c>
      <c r="B38" s="20">
        <v>279.834</v>
      </c>
    </row>
    <row r="39" spans="1:2" x14ac:dyDescent="0.3">
      <c r="A39" s="9" t="s">
        <v>43</v>
      </c>
      <c r="B39" s="15">
        <v>409.14400000000001</v>
      </c>
    </row>
    <row r="40" spans="1:2" x14ac:dyDescent="0.3">
      <c r="A40" s="11"/>
      <c r="B40" s="11"/>
    </row>
  </sheetData>
  <phoneticPr fontId="0" type="noConversion"/>
  <pageMargins left="0.2" right="0.2" top="0.5" bottom="0.5" header="0.5" footer="0.5"/>
  <pageSetup fitToWidth="0" fitToHeight="0" orientation="landscape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5:IU63"/>
  <sheetViews>
    <sheetView topLeftCell="A7" workbookViewId="0">
      <selection activeCell="J36" sqref="J36"/>
    </sheetView>
  </sheetViews>
  <sheetFormatPr defaultRowHeight="10.15" x14ac:dyDescent="0.3"/>
  <cols>
    <col min="1" max="1" width="32.19921875" customWidth="1"/>
    <col min="2" max="7" width="14.796875" customWidth="1"/>
  </cols>
  <sheetData>
    <row r="5" spans="1:255" ht="16.149999999999999" x14ac:dyDescent="0.4">
      <c r="A5" s="1" t="s">
        <v>64</v>
      </c>
    </row>
    <row r="7" spans="1:255" ht="20.25" x14ac:dyDescent="0.3">
      <c r="A7" s="2" t="s">
        <v>65</v>
      </c>
      <c r="B7" s="3" t="s">
        <v>66</v>
      </c>
      <c r="C7" t="s">
        <v>45</v>
      </c>
      <c r="D7" s="4" t="s">
        <v>4</v>
      </c>
      <c r="E7" s="3" t="s">
        <v>67</v>
      </c>
      <c r="F7" t="s">
        <v>46</v>
      </c>
    </row>
    <row r="8" spans="1:255" x14ac:dyDescent="0.3">
      <c r="A8" s="4"/>
      <c r="B8" s="3" t="s">
        <v>68</v>
      </c>
      <c r="C8" t="s">
        <v>47</v>
      </c>
      <c r="D8" s="4" t="s">
        <v>4</v>
      </c>
      <c r="E8" s="3" t="s">
        <v>69</v>
      </c>
      <c r="F8" t="s">
        <v>8</v>
      </c>
    </row>
    <row r="9" spans="1:255" x14ac:dyDescent="0.3">
      <c r="A9" s="4"/>
      <c r="B9" s="3" t="s">
        <v>70</v>
      </c>
      <c r="C9" t="s">
        <v>48</v>
      </c>
      <c r="D9" s="4" t="s">
        <v>4</v>
      </c>
      <c r="E9" s="3" t="s">
        <v>71</v>
      </c>
      <c r="F9" t="s">
        <v>6</v>
      </c>
    </row>
    <row r="10" spans="1:255" x14ac:dyDescent="0.3">
      <c r="A10" s="4"/>
      <c r="B10" s="3" t="s">
        <v>72</v>
      </c>
      <c r="C10" t="s">
        <v>10</v>
      </c>
      <c r="D10" s="4" t="s">
        <v>4</v>
      </c>
      <c r="E10" s="3" t="s">
        <v>73</v>
      </c>
      <c r="F10" s="5" t="s">
        <v>12</v>
      </c>
    </row>
    <row r="11" spans="1:255" x14ac:dyDescent="0.3">
      <c r="A11" s="4"/>
      <c r="B11" s="3" t="s">
        <v>74</v>
      </c>
      <c r="C11" t="s">
        <v>49</v>
      </c>
      <c r="D11" s="4" t="s">
        <v>4</v>
      </c>
      <c r="E11" s="22"/>
      <c r="F11" s="22"/>
    </row>
    <row r="14" spans="1:255" x14ac:dyDescent="0.3">
      <c r="A14" s="6" t="s">
        <v>75</v>
      </c>
      <c r="B14" s="6"/>
      <c r="C14" s="6"/>
      <c r="D14" s="6"/>
      <c r="E14" s="6"/>
      <c r="F14" s="6"/>
      <c r="G14" s="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</row>
    <row r="15" spans="1:255" ht="30.4" x14ac:dyDescent="0.3">
      <c r="A15" s="7" t="s">
        <v>16</v>
      </c>
      <c r="B15" s="13" t="s">
        <v>50</v>
      </c>
      <c r="C15" s="13" t="s">
        <v>76</v>
      </c>
      <c r="D15" s="13" t="s">
        <v>77</v>
      </c>
      <c r="E15" s="13" t="s">
        <v>51</v>
      </c>
      <c r="F15" s="13" t="s">
        <v>52</v>
      </c>
      <c r="G15" s="13" t="s">
        <v>53</v>
      </c>
    </row>
    <row r="16" spans="1:255" x14ac:dyDescent="0.3">
      <c r="A16" s="9" t="s">
        <v>54</v>
      </c>
      <c r="B16" s="11"/>
      <c r="C16" s="11"/>
      <c r="D16" s="11"/>
      <c r="E16" s="11"/>
      <c r="F16" s="11"/>
      <c r="G16" s="11"/>
    </row>
    <row r="17" spans="1:7" x14ac:dyDescent="0.3">
      <c r="A17" s="11" t="s">
        <v>78</v>
      </c>
      <c r="B17" s="20">
        <v>-2.2999999999999998</v>
      </c>
      <c r="C17" s="20">
        <v>-0.8</v>
      </c>
      <c r="D17" s="20">
        <v>2.1509999999999998</v>
      </c>
      <c r="E17" s="20">
        <v>0.34300000000000003</v>
      </c>
      <c r="F17" s="20">
        <v>1.9390000000000001</v>
      </c>
      <c r="G17" s="20">
        <v>-4.5</v>
      </c>
    </row>
    <row r="18" spans="1:7" x14ac:dyDescent="0.3">
      <c r="A18" s="11" t="s">
        <v>79</v>
      </c>
      <c r="B18" s="20">
        <v>8.3000000000000004E-2</v>
      </c>
      <c r="C18" s="20">
        <v>-0.7</v>
      </c>
      <c r="D18" s="20">
        <v>-0.6</v>
      </c>
      <c r="E18" s="20">
        <v>-0.1</v>
      </c>
      <c r="F18" s="20">
        <v>1.9830000000000001</v>
      </c>
      <c r="G18" s="20">
        <v>0</v>
      </c>
    </row>
    <row r="19" spans="1:7" x14ac:dyDescent="0.3">
      <c r="A19" s="11" t="s">
        <v>80</v>
      </c>
      <c r="B19" s="20">
        <v>-5.2</v>
      </c>
      <c r="C19" s="20">
        <v>5.718</v>
      </c>
      <c r="D19" s="20">
        <v>2.59</v>
      </c>
      <c r="E19" s="20">
        <v>-2.6</v>
      </c>
      <c r="F19" s="20">
        <v>-13.3</v>
      </c>
      <c r="G19" s="20">
        <v>5.9279999999999999</v>
      </c>
    </row>
    <row r="20" spans="1:7" x14ac:dyDescent="0.3">
      <c r="A20" s="11" t="s">
        <v>81</v>
      </c>
      <c r="B20" s="20">
        <v>2.9529999999999998</v>
      </c>
      <c r="C20" s="20">
        <v>3.6920000000000002</v>
      </c>
      <c r="D20" s="20">
        <v>5.383</v>
      </c>
      <c r="E20" s="20">
        <v>3.7610000000000001</v>
      </c>
      <c r="F20" s="20">
        <v>6.1740000000000004</v>
      </c>
      <c r="G20" s="20">
        <v>5.5</v>
      </c>
    </row>
    <row r="21" spans="1:7" x14ac:dyDescent="0.3">
      <c r="A21" s="11" t="s">
        <v>82</v>
      </c>
      <c r="B21" s="20">
        <v>1.3</v>
      </c>
      <c r="C21" s="20">
        <v>-0.1</v>
      </c>
      <c r="D21" s="20">
        <v>0.41099999999999998</v>
      </c>
      <c r="E21" s="20">
        <v>-1.2</v>
      </c>
      <c r="F21" s="20">
        <v>5.1920000000000002</v>
      </c>
      <c r="G21" s="20">
        <v>7.2320000000000002</v>
      </c>
    </row>
    <row r="22" spans="1:7" x14ac:dyDescent="0.3">
      <c r="A22" s="9" t="s">
        <v>83</v>
      </c>
      <c r="B22" s="23">
        <v>56.293999999999997</v>
      </c>
      <c r="C22" s="23">
        <v>68.692999999999998</v>
      </c>
      <c r="D22" s="23">
        <v>78.293999999999997</v>
      </c>
      <c r="E22" s="23">
        <v>72.91</v>
      </c>
      <c r="F22" s="23">
        <v>20.085000000000001</v>
      </c>
      <c r="G22" s="23">
        <v>64.820999999999998</v>
      </c>
    </row>
    <row r="23" spans="1:7" x14ac:dyDescent="0.3">
      <c r="A23" s="11"/>
      <c r="B23" s="11"/>
      <c r="C23" s="11"/>
      <c r="D23" s="11"/>
      <c r="E23" s="11"/>
      <c r="F23" s="11"/>
      <c r="G23" s="11"/>
    </row>
    <row r="24" spans="1:7" x14ac:dyDescent="0.3">
      <c r="A24" s="11" t="s">
        <v>84</v>
      </c>
      <c r="B24" s="20">
        <v>-26.2</v>
      </c>
      <c r="C24" s="20">
        <v>-21.3</v>
      </c>
      <c r="D24" s="20">
        <v>-31.9</v>
      </c>
      <c r="E24" s="20">
        <v>-31.7</v>
      </c>
      <c r="F24" s="20">
        <v>-10.6</v>
      </c>
      <c r="G24" s="20">
        <v>-4.9000000000000004</v>
      </c>
    </row>
    <row r="25" spans="1:7" x14ac:dyDescent="0.3">
      <c r="A25" s="11" t="s">
        <v>85</v>
      </c>
      <c r="B25" s="20">
        <v>0.80200000000000005</v>
      </c>
      <c r="C25" s="20" t="s">
        <v>29</v>
      </c>
      <c r="D25" s="20" t="s">
        <v>29</v>
      </c>
      <c r="E25" s="20" t="s">
        <v>29</v>
      </c>
      <c r="F25" s="20" t="s">
        <v>29</v>
      </c>
      <c r="G25" s="20" t="s">
        <v>29</v>
      </c>
    </row>
    <row r="26" spans="1:7" x14ac:dyDescent="0.3">
      <c r="A26" s="11" t="s">
        <v>86</v>
      </c>
      <c r="B26" s="20" t="s">
        <v>29</v>
      </c>
      <c r="C26" s="20">
        <v>-35.4</v>
      </c>
      <c r="D26" s="20" t="s">
        <v>29</v>
      </c>
      <c r="E26" s="20">
        <v>-18.600000000000001</v>
      </c>
      <c r="F26" s="20" t="s">
        <v>29</v>
      </c>
      <c r="G26" s="20" t="s">
        <v>29</v>
      </c>
    </row>
    <row r="27" spans="1:7" x14ac:dyDescent="0.3">
      <c r="A27" s="11" t="s">
        <v>87</v>
      </c>
      <c r="B27" s="20" t="s">
        <v>29</v>
      </c>
      <c r="C27" s="20" t="s">
        <v>29</v>
      </c>
      <c r="D27" s="20" t="s">
        <v>29</v>
      </c>
      <c r="E27" s="20" t="s">
        <v>29</v>
      </c>
      <c r="F27" s="20" t="s">
        <v>29</v>
      </c>
      <c r="G27" s="20" t="s">
        <v>29</v>
      </c>
    </row>
    <row r="28" spans="1:7" x14ac:dyDescent="0.3">
      <c r="A28" s="11" t="s">
        <v>88</v>
      </c>
      <c r="B28" s="20" t="s">
        <v>29</v>
      </c>
      <c r="C28" s="20" t="s">
        <v>29</v>
      </c>
      <c r="D28" s="20" t="s">
        <v>29</v>
      </c>
      <c r="E28" s="20" t="s">
        <v>29</v>
      </c>
      <c r="F28" s="20" t="s">
        <v>29</v>
      </c>
      <c r="G28" s="20" t="s">
        <v>29</v>
      </c>
    </row>
    <row r="29" spans="1:7" x14ac:dyDescent="0.3">
      <c r="A29" s="11" t="s">
        <v>89</v>
      </c>
      <c r="B29" s="20" t="s">
        <v>29</v>
      </c>
      <c r="C29" s="20" t="s">
        <v>29</v>
      </c>
      <c r="D29" s="20" t="s">
        <v>29</v>
      </c>
      <c r="E29" s="20" t="s">
        <v>29</v>
      </c>
      <c r="F29" s="20" t="s">
        <v>29</v>
      </c>
      <c r="G29" s="20" t="s">
        <v>29</v>
      </c>
    </row>
    <row r="30" spans="1:7" x14ac:dyDescent="0.3">
      <c r="A30" s="11" t="s">
        <v>90</v>
      </c>
      <c r="B30" s="20" t="s">
        <v>29</v>
      </c>
      <c r="C30" s="20" t="s">
        <v>29</v>
      </c>
      <c r="D30" s="20" t="s">
        <v>29</v>
      </c>
      <c r="E30" s="20" t="s">
        <v>29</v>
      </c>
      <c r="F30" s="20" t="s">
        <v>29</v>
      </c>
      <c r="G30" s="20" t="s">
        <v>29</v>
      </c>
    </row>
    <row r="31" spans="1:7" x14ac:dyDescent="0.3">
      <c r="A31" s="9" t="s">
        <v>91</v>
      </c>
      <c r="B31" s="23">
        <v>-25.4</v>
      </c>
      <c r="C31" s="23">
        <v>-56.6</v>
      </c>
      <c r="D31" s="23">
        <v>-31.9</v>
      </c>
      <c r="E31" s="23">
        <v>-50.3</v>
      </c>
      <c r="F31" s="23">
        <v>-10.6</v>
      </c>
      <c r="G31" s="23">
        <v>-4.9000000000000004</v>
      </c>
    </row>
    <row r="32" spans="1:7" x14ac:dyDescent="0.3">
      <c r="A32" s="11"/>
      <c r="B32" s="11"/>
      <c r="C32" s="11"/>
      <c r="D32" s="11"/>
      <c r="E32" s="11"/>
      <c r="F32" s="11"/>
      <c r="G32" s="11"/>
    </row>
    <row r="33" spans="1:7" x14ac:dyDescent="0.3">
      <c r="A33" s="11" t="s">
        <v>92</v>
      </c>
      <c r="B33" s="20" t="s">
        <v>29</v>
      </c>
      <c r="C33" s="20" t="s">
        <v>29</v>
      </c>
      <c r="D33" s="20" t="s">
        <v>29</v>
      </c>
      <c r="E33" s="20" t="s">
        <v>29</v>
      </c>
      <c r="F33" s="20">
        <v>20</v>
      </c>
      <c r="G33" s="20" t="s">
        <v>29</v>
      </c>
    </row>
    <row r="34" spans="1:7" x14ac:dyDescent="0.3">
      <c r="A34" s="11" t="s">
        <v>93</v>
      </c>
      <c r="B34" s="20">
        <v>48</v>
      </c>
      <c r="C34" s="20">
        <v>70</v>
      </c>
      <c r="D34" s="20">
        <v>33</v>
      </c>
      <c r="E34" s="20">
        <v>54</v>
      </c>
      <c r="F34" s="20">
        <v>85</v>
      </c>
      <c r="G34" s="20" t="s">
        <v>29</v>
      </c>
    </row>
    <row r="35" spans="1:7" x14ac:dyDescent="0.3">
      <c r="A35" s="9" t="s">
        <v>94</v>
      </c>
      <c r="B35" s="23">
        <v>48</v>
      </c>
      <c r="C35" s="23">
        <v>70</v>
      </c>
      <c r="D35" s="23">
        <v>33</v>
      </c>
      <c r="E35" s="23">
        <v>54</v>
      </c>
      <c r="F35" s="23">
        <v>105</v>
      </c>
      <c r="G35" s="23">
        <v>0</v>
      </c>
    </row>
    <row r="36" spans="1:7" x14ac:dyDescent="0.3">
      <c r="A36" s="11" t="s">
        <v>95</v>
      </c>
      <c r="B36" s="20" t="s">
        <v>29</v>
      </c>
      <c r="C36" s="20" t="s">
        <v>29</v>
      </c>
      <c r="D36" s="20" t="s">
        <v>29</v>
      </c>
      <c r="E36" s="20" t="s">
        <v>29</v>
      </c>
      <c r="F36" s="20">
        <v>-20</v>
      </c>
      <c r="G36" s="20" t="s">
        <v>29</v>
      </c>
    </row>
    <row r="37" spans="1:7" x14ac:dyDescent="0.3">
      <c r="A37" s="11" t="s">
        <v>96</v>
      </c>
      <c r="B37" s="20">
        <v>-23</v>
      </c>
      <c r="C37" s="20">
        <v>-45</v>
      </c>
      <c r="D37" s="20">
        <v>-42</v>
      </c>
      <c r="E37" s="20">
        <v>-31</v>
      </c>
      <c r="F37" s="20">
        <v>-34</v>
      </c>
      <c r="G37" s="20" t="s">
        <v>29</v>
      </c>
    </row>
    <row r="38" spans="1:7" x14ac:dyDescent="0.3">
      <c r="A38" s="9" t="s">
        <v>97</v>
      </c>
      <c r="B38" s="23">
        <v>-23</v>
      </c>
      <c r="C38" s="23">
        <v>-45</v>
      </c>
      <c r="D38" s="23">
        <v>-42</v>
      </c>
      <c r="E38" s="23">
        <v>-31</v>
      </c>
      <c r="F38" s="23">
        <v>-54</v>
      </c>
      <c r="G38" s="23">
        <v>-65.2</v>
      </c>
    </row>
    <row r="39" spans="1:7" x14ac:dyDescent="0.3">
      <c r="A39" s="11"/>
      <c r="B39" s="11"/>
      <c r="C39" s="11"/>
      <c r="D39" s="11"/>
      <c r="E39" s="11"/>
      <c r="F39" s="11"/>
      <c r="G39" s="11"/>
    </row>
    <row r="40" spans="1:7" x14ac:dyDescent="0.3">
      <c r="A40" s="11" t="s">
        <v>98</v>
      </c>
      <c r="B40" s="20">
        <v>0.219</v>
      </c>
      <c r="C40" s="20">
        <v>0.94499999999999995</v>
      </c>
      <c r="D40" s="20">
        <v>3.2000000000000001E-2</v>
      </c>
      <c r="E40" s="20">
        <v>1.6E-2</v>
      </c>
      <c r="F40" s="20">
        <v>49.558</v>
      </c>
      <c r="G40" s="20" t="s">
        <v>29</v>
      </c>
    </row>
    <row r="41" spans="1:7" x14ac:dyDescent="0.3">
      <c r="A41" s="11" t="s">
        <v>99</v>
      </c>
      <c r="B41" s="20">
        <v>-46.6</v>
      </c>
      <c r="C41" s="20">
        <v>-26</v>
      </c>
      <c r="D41" s="20">
        <v>-22.9</v>
      </c>
      <c r="E41" s="20">
        <v>-29.5</v>
      </c>
      <c r="F41" s="20">
        <v>-14.8</v>
      </c>
      <c r="G41" s="20">
        <v>-3</v>
      </c>
    </row>
    <row r="42" spans="1:7" x14ac:dyDescent="0.3">
      <c r="A42" s="11"/>
      <c r="B42" s="11"/>
      <c r="C42" s="11"/>
      <c r="D42" s="11"/>
      <c r="E42" s="11"/>
      <c r="F42" s="11"/>
      <c r="G42" s="11"/>
    </row>
    <row r="43" spans="1:7" x14ac:dyDescent="0.3">
      <c r="A43" s="11" t="s">
        <v>100</v>
      </c>
      <c r="B43" s="20">
        <v>-9.1999999999999993</v>
      </c>
      <c r="C43" s="20">
        <v>-11.4</v>
      </c>
      <c r="D43" s="20">
        <v>-13.5</v>
      </c>
      <c r="E43" s="20">
        <v>-15.6</v>
      </c>
      <c r="F43" s="20">
        <v>-4.4000000000000004</v>
      </c>
      <c r="G43" s="20">
        <v>0</v>
      </c>
    </row>
    <row r="44" spans="1:7" x14ac:dyDescent="0.3">
      <c r="A44" s="9" t="s">
        <v>101</v>
      </c>
      <c r="B44" s="23">
        <v>-9.1999999999999993</v>
      </c>
      <c r="C44" s="23">
        <v>-11.4</v>
      </c>
      <c r="D44" s="23">
        <v>-13.5</v>
      </c>
      <c r="E44" s="23">
        <v>-15.6</v>
      </c>
      <c r="F44" s="23">
        <v>-4.4000000000000004</v>
      </c>
      <c r="G44" s="23">
        <v>0</v>
      </c>
    </row>
    <row r="45" spans="1:7" x14ac:dyDescent="0.3">
      <c r="A45" s="11"/>
      <c r="B45" s="11"/>
      <c r="C45" s="11"/>
      <c r="D45" s="11"/>
      <c r="E45" s="11"/>
      <c r="F45" s="11"/>
      <c r="G45" s="11"/>
    </row>
    <row r="46" spans="1:7" x14ac:dyDescent="0.3">
      <c r="A46" s="11" t="s">
        <v>102</v>
      </c>
      <c r="B46" s="20" t="s">
        <v>29</v>
      </c>
      <c r="C46" s="20" t="s">
        <v>29</v>
      </c>
      <c r="D46" s="20" t="s">
        <v>29</v>
      </c>
      <c r="E46" s="20" t="s">
        <v>29</v>
      </c>
      <c r="F46" s="20" t="s">
        <v>29</v>
      </c>
      <c r="G46" s="20" t="s">
        <v>29</v>
      </c>
    </row>
    <row r="47" spans="1:7" x14ac:dyDescent="0.3">
      <c r="A47" s="11" t="s">
        <v>103</v>
      </c>
      <c r="B47" s="20">
        <v>0.378</v>
      </c>
      <c r="C47" s="20">
        <v>-0.4</v>
      </c>
      <c r="D47" s="20" t="s">
        <v>29</v>
      </c>
      <c r="E47" s="20">
        <v>0</v>
      </c>
      <c r="F47" s="20">
        <v>-1</v>
      </c>
      <c r="G47" s="20">
        <v>-0.5</v>
      </c>
    </row>
    <row r="48" spans="1:7" x14ac:dyDescent="0.3">
      <c r="A48" s="9" t="s">
        <v>104</v>
      </c>
      <c r="B48" s="23">
        <v>-30.2</v>
      </c>
      <c r="C48" s="23">
        <v>-11.8</v>
      </c>
      <c r="D48" s="23">
        <v>-45.4</v>
      </c>
      <c r="E48" s="23">
        <v>-22.1</v>
      </c>
      <c r="F48" s="23">
        <v>80.37</v>
      </c>
      <c r="G48" s="23">
        <v>-68.7</v>
      </c>
    </row>
    <row r="49" spans="1:7" x14ac:dyDescent="0.3">
      <c r="A49" s="11"/>
      <c r="B49" s="11"/>
      <c r="C49" s="11"/>
      <c r="D49" s="11"/>
      <c r="E49" s="11"/>
      <c r="F49" s="11"/>
      <c r="G49" s="11"/>
    </row>
    <row r="50" spans="1:7" x14ac:dyDescent="0.3">
      <c r="A50" s="9" t="s">
        <v>105</v>
      </c>
      <c r="B50" s="24">
        <v>0.69299999999999995</v>
      </c>
      <c r="C50" s="24">
        <v>0.26300000000000001</v>
      </c>
      <c r="D50" s="24">
        <v>1.0109999999999999</v>
      </c>
      <c r="E50" s="24">
        <v>0.505</v>
      </c>
      <c r="F50" s="24">
        <v>89.834999999999994</v>
      </c>
      <c r="G50" s="24">
        <v>-8.8000000000000007</v>
      </c>
    </row>
    <row r="51" spans="1:7" x14ac:dyDescent="0.3">
      <c r="A51" s="11"/>
      <c r="B51" s="11"/>
      <c r="C51" s="11"/>
      <c r="D51" s="11"/>
      <c r="E51" s="11"/>
      <c r="F51" s="11"/>
      <c r="G51" s="11"/>
    </row>
    <row r="52" spans="1:7" x14ac:dyDescent="0.3">
      <c r="A52" s="9" t="s">
        <v>55</v>
      </c>
      <c r="B52" s="11"/>
      <c r="C52" s="11"/>
      <c r="D52" s="11"/>
      <c r="E52" s="11"/>
      <c r="F52" s="11"/>
      <c r="G52" s="11"/>
    </row>
    <row r="53" spans="1:7" x14ac:dyDescent="0.3">
      <c r="A53" s="11" t="s">
        <v>106</v>
      </c>
      <c r="B53" s="20">
        <v>0.72899999999999998</v>
      </c>
      <c r="C53" s="20">
        <v>0.66700000000000004</v>
      </c>
      <c r="D53" s="20">
        <v>1.6579999999999999</v>
      </c>
      <c r="E53" s="20">
        <v>1.988</v>
      </c>
      <c r="F53" s="20">
        <v>4.2990000000000004</v>
      </c>
      <c r="G53" s="20">
        <v>4.734</v>
      </c>
    </row>
    <row r="54" spans="1:7" x14ac:dyDescent="0.3">
      <c r="A54" s="11" t="s">
        <v>107</v>
      </c>
      <c r="B54" s="20">
        <v>3.625</v>
      </c>
      <c r="C54" s="20">
        <v>10.68</v>
      </c>
      <c r="D54" s="20">
        <v>8.4670000000000005</v>
      </c>
      <c r="E54" s="20">
        <v>8.2650000000000006</v>
      </c>
      <c r="F54" s="20">
        <v>-1.4</v>
      </c>
      <c r="G54" s="20" t="s">
        <v>56</v>
      </c>
    </row>
    <row r="55" spans="1:7" x14ac:dyDescent="0.3">
      <c r="A55" s="11" t="s">
        <v>108</v>
      </c>
      <c r="B55" s="20">
        <v>20.881125000000001</v>
      </c>
      <c r="C55" s="20">
        <v>38.496124999999999</v>
      </c>
      <c r="D55" s="20">
        <v>34.08</v>
      </c>
      <c r="E55" s="20">
        <v>27.831</v>
      </c>
      <c r="F55" s="20">
        <v>-0.2</v>
      </c>
      <c r="G55" s="20">
        <v>49.112124999999999</v>
      </c>
    </row>
    <row r="56" spans="1:7" x14ac:dyDescent="0.3">
      <c r="A56" s="11" t="s">
        <v>109</v>
      </c>
      <c r="B56" s="20">
        <v>21.181374999999999</v>
      </c>
      <c r="C56" s="20">
        <v>38.874250000000004</v>
      </c>
      <c r="D56" s="20">
        <v>35.084874999999997</v>
      </c>
      <c r="E56" s="20">
        <v>29.118124999999999</v>
      </c>
      <c r="F56" s="20">
        <v>2.426625</v>
      </c>
      <c r="G56" s="20">
        <v>52.011749999999999</v>
      </c>
    </row>
    <row r="57" spans="1:7" x14ac:dyDescent="0.3">
      <c r="A57" s="11" t="s">
        <v>110</v>
      </c>
      <c r="B57" s="20">
        <v>1.6</v>
      </c>
      <c r="C57" s="20">
        <v>-6.7</v>
      </c>
      <c r="D57" s="20">
        <v>-8.4</v>
      </c>
      <c r="E57" s="20">
        <v>1.8480000000000001</v>
      </c>
      <c r="F57" s="20">
        <v>9.5489999999999995</v>
      </c>
      <c r="G57" s="20">
        <v>-9.1</v>
      </c>
    </row>
    <row r="58" spans="1:7" x14ac:dyDescent="0.3">
      <c r="A58" s="11" t="s">
        <v>111</v>
      </c>
      <c r="B58" s="20">
        <v>25</v>
      </c>
      <c r="C58" s="20">
        <v>25</v>
      </c>
      <c r="D58" s="20">
        <v>-9</v>
      </c>
      <c r="E58" s="20">
        <v>23</v>
      </c>
      <c r="F58" s="20">
        <v>51</v>
      </c>
      <c r="G58" s="20">
        <v>-65.2</v>
      </c>
    </row>
    <row r="59" spans="1:7" x14ac:dyDescent="0.3">
      <c r="A59" s="11" t="s">
        <v>57</v>
      </c>
      <c r="B59" s="25">
        <v>43524</v>
      </c>
      <c r="C59" s="25">
        <v>43888</v>
      </c>
      <c r="D59" s="25">
        <v>44260</v>
      </c>
      <c r="E59" s="25">
        <v>44260</v>
      </c>
      <c r="F59" s="25">
        <v>44260</v>
      </c>
      <c r="G59" s="25">
        <v>44414</v>
      </c>
    </row>
    <row r="60" spans="1:7" x14ac:dyDescent="0.3">
      <c r="A60" s="11" t="s">
        <v>58</v>
      </c>
      <c r="B60" s="21" t="s">
        <v>59</v>
      </c>
      <c r="C60" s="21" t="s">
        <v>59</v>
      </c>
      <c r="D60" s="21" t="s">
        <v>59</v>
      </c>
      <c r="E60" s="21" t="s">
        <v>59</v>
      </c>
      <c r="F60" s="21" t="s">
        <v>60</v>
      </c>
      <c r="G60" s="21" t="s">
        <v>60</v>
      </c>
    </row>
    <row r="61" spans="1:7" x14ac:dyDescent="0.3">
      <c r="A61" s="11" t="s">
        <v>61</v>
      </c>
      <c r="B61" s="21" t="s">
        <v>62</v>
      </c>
      <c r="C61" s="21" t="s">
        <v>62</v>
      </c>
      <c r="D61" s="21" t="s">
        <v>62</v>
      </c>
      <c r="E61" s="21" t="s">
        <v>62</v>
      </c>
      <c r="F61" s="21" t="s">
        <v>62</v>
      </c>
      <c r="G61" s="21" t="s">
        <v>63</v>
      </c>
    </row>
    <row r="62" spans="1:7" x14ac:dyDescent="0.3">
      <c r="A62" s="11"/>
      <c r="B62" s="11"/>
      <c r="C62" s="11"/>
      <c r="D62" s="11"/>
      <c r="E62" s="11"/>
      <c r="F62" s="11"/>
      <c r="G62" s="11"/>
    </row>
    <row r="63" spans="1:7" ht="60.75" x14ac:dyDescent="0.3">
      <c r="A63" s="26" t="s">
        <v>44</v>
      </c>
      <c r="B63" s="12"/>
      <c r="C63" s="12"/>
      <c r="D63" s="12"/>
      <c r="E63" s="12"/>
      <c r="F63" s="12"/>
      <c r="G63" s="12"/>
    </row>
  </sheetData>
  <phoneticPr fontId="0" type="noConversion"/>
  <pageMargins left="0.2" right="0.2" top="0.5" bottom="0.5" header="0.5" footer="0.5"/>
  <pageSetup fitToWidth="0" fitToHeight="0" orientation="landscape" horizontalDpi="0" verticalDpi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6290-2E6C-4419-A0FB-704D25F69F91}">
  <dimension ref="A2:F35"/>
  <sheetViews>
    <sheetView tabSelected="1" topLeftCell="A4" workbookViewId="0">
      <selection activeCell="D26" sqref="D26"/>
    </sheetView>
  </sheetViews>
  <sheetFormatPr defaultRowHeight="10.15" x14ac:dyDescent="0.3"/>
  <cols>
    <col min="1" max="1" width="22.33203125" customWidth="1"/>
    <col min="2" max="2" width="13.19921875" customWidth="1"/>
    <col min="3" max="3" width="13.33203125" customWidth="1"/>
    <col min="4" max="4" width="14.06640625" customWidth="1"/>
    <col min="5" max="5" width="15.3984375" customWidth="1"/>
    <col min="6" max="6" width="13.9296875" customWidth="1"/>
    <col min="7" max="7" width="17.86328125" customWidth="1"/>
  </cols>
  <sheetData>
    <row r="2" spans="1:6" ht="13.5" x14ac:dyDescent="0.35">
      <c r="A2" s="28" t="s">
        <v>15</v>
      </c>
      <c r="B2" s="29"/>
      <c r="C2" s="29"/>
      <c r="D2" s="29"/>
    </row>
    <row r="3" spans="1:6" ht="41.65" x14ac:dyDescent="0.4">
      <c r="A3" s="30" t="s">
        <v>16</v>
      </c>
      <c r="B3" s="31" t="s">
        <v>22</v>
      </c>
      <c r="C3" s="31" t="s">
        <v>23</v>
      </c>
      <c r="D3" s="31" t="s">
        <v>24</v>
      </c>
      <c r="E3" s="31" t="s">
        <v>112</v>
      </c>
      <c r="F3" s="31" t="s">
        <v>113</v>
      </c>
    </row>
    <row r="4" spans="1:6" ht="13.9" x14ac:dyDescent="0.3">
      <c r="A4" s="32"/>
      <c r="B4" s="33"/>
      <c r="C4" s="33"/>
      <c r="D4" s="33"/>
    </row>
    <row r="5" spans="1:6" ht="13.9" x14ac:dyDescent="0.4">
      <c r="A5" s="32" t="s">
        <v>27</v>
      </c>
      <c r="B5" s="52">
        <v>428.17219999999998</v>
      </c>
      <c r="C5" s="52">
        <v>481.178</v>
      </c>
      <c r="D5" s="52">
        <v>512.4</v>
      </c>
      <c r="E5" s="36">
        <f>D5*(1+E6)</f>
        <v>543.14400000000001</v>
      </c>
      <c r="F5" s="36">
        <f>E5*(1+F6)</f>
        <v>575.73264000000006</v>
      </c>
    </row>
    <row r="6" spans="1:6" ht="13.9" x14ac:dyDescent="0.3">
      <c r="A6" s="34" t="s">
        <v>28</v>
      </c>
      <c r="B6" s="35">
        <v>0.54158517793100003</v>
      </c>
      <c r="C6" s="35">
        <v>0.12379551965299999</v>
      </c>
      <c r="D6" s="35">
        <v>6.4886590825000007E-2</v>
      </c>
      <c r="E6" s="37">
        <v>0.06</v>
      </c>
      <c r="F6" s="37">
        <v>0.06</v>
      </c>
    </row>
    <row r="7" spans="1:6" ht="13.5" x14ac:dyDescent="0.3">
      <c r="A7" s="33"/>
      <c r="B7" s="33"/>
      <c r="C7" s="33"/>
      <c r="D7" s="33"/>
    </row>
    <row r="8" spans="1:6" ht="13.9" x14ac:dyDescent="0.3">
      <c r="A8" s="32" t="s">
        <v>31</v>
      </c>
      <c r="B8" s="52">
        <f>'Key Stats'!G18</f>
        <v>96.525000000000006</v>
      </c>
      <c r="C8" s="52">
        <f>'Key Stats'!H18</f>
        <v>112</v>
      </c>
      <c r="D8" s="52">
        <f>'Key Stats'!I18</f>
        <v>119.65</v>
      </c>
      <c r="E8" s="38">
        <f>E9*E5</f>
        <v>114.06023999999999</v>
      </c>
      <c r="F8" s="38">
        <f>F9*F5</f>
        <v>120.90385440000001</v>
      </c>
    </row>
    <row r="9" spans="1:6" ht="13.9" x14ac:dyDescent="0.3">
      <c r="A9" s="34" t="s">
        <v>30</v>
      </c>
      <c r="B9" s="35">
        <f>'Key Stats'!G19</f>
        <v>0.22543500021720236</v>
      </c>
      <c r="C9" s="35">
        <f>'Key Stats'!H19</f>
        <v>0.23276209635519496</v>
      </c>
      <c r="D9" s="35">
        <f>'Key Stats'!I19</f>
        <v>0.23350897736143639</v>
      </c>
      <c r="E9" s="37">
        <v>0.21</v>
      </c>
      <c r="F9" s="37">
        <f>E9</f>
        <v>0.21</v>
      </c>
    </row>
    <row r="11" spans="1:6" ht="13.9" x14ac:dyDescent="0.4">
      <c r="A11" s="45" t="s">
        <v>118</v>
      </c>
      <c r="B11" s="47">
        <f>'Capital Expenditures'!C10</f>
        <v>-27.5745</v>
      </c>
      <c r="C11" s="47">
        <f>B11*(1+C6)</f>
        <v>-30.988099556671649</v>
      </c>
      <c r="D11" s="47">
        <f t="shared" ref="D11:F11" si="0">C11*(1+D6)</f>
        <v>-32.998811693049767</v>
      </c>
      <c r="E11" s="47">
        <f t="shared" si="0"/>
        <v>-34.978740394632752</v>
      </c>
      <c r="F11" s="47">
        <f t="shared" si="0"/>
        <v>-37.077464818310716</v>
      </c>
    </row>
    <row r="12" spans="1:6" ht="13.9" x14ac:dyDescent="0.35">
      <c r="A12" s="34"/>
      <c r="B12" s="46"/>
      <c r="C12" s="46"/>
      <c r="D12" s="46"/>
      <c r="E12" s="46"/>
      <c r="F12" s="46"/>
    </row>
    <row r="13" spans="1:6" ht="13.9" x14ac:dyDescent="0.4">
      <c r="A13" s="45" t="s">
        <v>119</v>
      </c>
      <c r="B13" s="47">
        <f>'Working capital'!C14</f>
        <v>3.3546</v>
      </c>
      <c r="C13" s="47">
        <f>B13*(1+C6)</f>
        <v>3.7698844502279538</v>
      </c>
      <c r="D13" s="47">
        <f t="shared" ref="D13:F13" si="1">C13*(1+D6)</f>
        <v>4.0144994000074252</v>
      </c>
      <c r="E13" s="47">
        <f t="shared" si="1"/>
        <v>4.2553693640078709</v>
      </c>
      <c r="F13" s="47">
        <f t="shared" si="1"/>
        <v>4.5106915258483431</v>
      </c>
    </row>
    <row r="15" spans="1:6" ht="13.9" x14ac:dyDescent="0.4">
      <c r="A15" s="45" t="s">
        <v>120</v>
      </c>
      <c r="B15" s="47">
        <f>-21%*(B8+B11)</f>
        <v>-14.479605000000001</v>
      </c>
      <c r="C15" s="47">
        <f t="shared" ref="C15:F15" si="2">-21%*(C8+C11)</f>
        <v>-17.012499093098956</v>
      </c>
      <c r="D15" s="47">
        <f t="shared" si="2"/>
        <v>-18.19674954445955</v>
      </c>
      <c r="E15" s="47">
        <f t="shared" si="2"/>
        <v>-16.60711491712712</v>
      </c>
      <c r="F15" s="47">
        <f t="shared" si="2"/>
        <v>-17.603541812154752</v>
      </c>
    </row>
    <row r="17" spans="1:6" ht="13.9" x14ac:dyDescent="0.4">
      <c r="A17" s="45" t="s">
        <v>121</v>
      </c>
      <c r="B17" s="47">
        <f>B8+B11+B13+B15</f>
        <v>57.825495000000011</v>
      </c>
      <c r="C17" s="47">
        <f t="shared" ref="C17:F17" si="3">C8+C11+C13+C15</f>
        <v>67.769285800457354</v>
      </c>
      <c r="D17" s="47">
        <f t="shared" si="3"/>
        <v>72.468938162498119</v>
      </c>
      <c r="E17" s="47">
        <f t="shared" si="3"/>
        <v>66.729754052247998</v>
      </c>
      <c r="F17" s="47">
        <f t="shared" si="3"/>
        <v>70.733539295382883</v>
      </c>
    </row>
    <row r="19" spans="1:6" ht="13.9" x14ac:dyDescent="0.4">
      <c r="A19" s="45" t="s">
        <v>131</v>
      </c>
      <c r="B19" s="51">
        <v>0.02</v>
      </c>
      <c r="C19" s="29"/>
      <c r="D19" s="29"/>
      <c r="E19" s="29"/>
      <c r="F19" s="29"/>
    </row>
    <row r="20" spans="1:6" ht="13.9" x14ac:dyDescent="0.4">
      <c r="A20" s="29"/>
      <c r="B20" s="29"/>
      <c r="C20" s="29"/>
      <c r="D20" s="29"/>
      <c r="E20" s="45" t="s">
        <v>132</v>
      </c>
      <c r="F20" s="53">
        <f>F17*(1+B19)/(WACC!D17-Valuation!B19)</f>
        <v>1106.6648678739448</v>
      </c>
    </row>
    <row r="21" spans="1:6" ht="13.5" x14ac:dyDescent="0.35">
      <c r="A21" s="29"/>
      <c r="B21" s="29"/>
      <c r="C21" s="29"/>
      <c r="D21" s="29"/>
      <c r="E21" s="29"/>
      <c r="F21" s="29"/>
    </row>
    <row r="22" spans="1:6" ht="13.9" x14ac:dyDescent="0.4">
      <c r="A22" s="45" t="s">
        <v>133</v>
      </c>
      <c r="B22" s="54">
        <f>(F17+F20)/(1+WACC!D17)^4+NPV(WACC!D17,Valuation!C17:E17)</f>
        <v>1025.1734937071117</v>
      </c>
      <c r="C22" s="29"/>
      <c r="D22" s="29"/>
      <c r="E22" s="29"/>
      <c r="F22" s="29"/>
    </row>
    <row r="23" spans="1:6" ht="13.5" x14ac:dyDescent="0.35">
      <c r="A23" s="29"/>
      <c r="B23" s="29"/>
      <c r="C23" s="29"/>
      <c r="D23" s="29"/>
      <c r="E23" s="29"/>
      <c r="F23" s="29"/>
    </row>
    <row r="24" spans="1:6" ht="13.5" x14ac:dyDescent="0.35">
      <c r="A24" s="29" t="s">
        <v>134</v>
      </c>
      <c r="B24" s="29">
        <f>'Key Stats'!B29</f>
        <v>279.834</v>
      </c>
      <c r="C24" s="29"/>
      <c r="D24" s="29"/>
      <c r="E24" s="29"/>
      <c r="F24" s="29"/>
    </row>
    <row r="25" spans="1:6" ht="13.5" x14ac:dyDescent="0.35">
      <c r="A25" s="29"/>
      <c r="B25" s="29"/>
      <c r="C25" s="29"/>
      <c r="D25" s="29"/>
      <c r="E25" s="29"/>
      <c r="F25" s="29"/>
    </row>
    <row r="26" spans="1:6" ht="13.5" x14ac:dyDescent="0.35">
      <c r="A26" s="29" t="s">
        <v>135</v>
      </c>
      <c r="B26" s="29">
        <f>'Key Stats'!B28</f>
        <v>87.338999999999999</v>
      </c>
      <c r="C26" s="29"/>
      <c r="D26" s="29"/>
      <c r="E26" s="29"/>
      <c r="F26" s="29"/>
    </row>
    <row r="27" spans="1:6" ht="13.5" x14ac:dyDescent="0.35">
      <c r="A27" s="29"/>
      <c r="B27" s="29"/>
      <c r="C27" s="29"/>
      <c r="D27" s="29"/>
      <c r="E27" s="29"/>
      <c r="F27" s="29"/>
    </row>
    <row r="28" spans="1:6" ht="13.9" x14ac:dyDescent="0.4">
      <c r="A28" s="45" t="s">
        <v>136</v>
      </c>
      <c r="B28" s="54">
        <f>B22-B24+B26</f>
        <v>832.67849370711156</v>
      </c>
      <c r="C28" s="29"/>
      <c r="D28" s="29"/>
      <c r="E28" s="29"/>
      <c r="F28" s="29"/>
    </row>
    <row r="29" spans="1:6" ht="13.5" x14ac:dyDescent="0.35">
      <c r="A29" s="29"/>
      <c r="B29" s="29"/>
      <c r="C29" s="29"/>
      <c r="D29" s="29"/>
      <c r="E29" s="29"/>
      <c r="F29" s="29"/>
    </row>
    <row r="30" spans="1:6" ht="13.9" x14ac:dyDescent="0.4">
      <c r="A30" s="45" t="s">
        <v>137</v>
      </c>
      <c r="B30" s="55">
        <f>B28/'Key Stats'!B25</f>
        <v>24.343455049282564</v>
      </c>
      <c r="C30" s="29"/>
      <c r="D30" s="29"/>
      <c r="E30" s="29"/>
      <c r="F30" s="29"/>
    </row>
    <row r="31" spans="1:6" ht="13.5" x14ac:dyDescent="0.35">
      <c r="A31" s="29"/>
      <c r="B31" s="29"/>
      <c r="C31" s="29"/>
      <c r="D31" s="29"/>
      <c r="E31" s="29"/>
      <c r="F31" s="29"/>
    </row>
    <row r="32" spans="1:6" ht="13.5" x14ac:dyDescent="0.35">
      <c r="A32" s="29"/>
      <c r="B32" s="29"/>
      <c r="C32" s="29"/>
      <c r="D32" s="29"/>
      <c r="E32" s="29"/>
      <c r="F32" s="29"/>
    </row>
    <row r="33" spans="1:6" ht="13.5" x14ac:dyDescent="0.35">
      <c r="A33" s="29"/>
      <c r="B33" s="29"/>
      <c r="C33" s="29"/>
      <c r="D33" s="29"/>
      <c r="E33" s="29"/>
      <c r="F33" s="29"/>
    </row>
    <row r="34" spans="1:6" ht="13.5" x14ac:dyDescent="0.35">
      <c r="A34" s="29"/>
      <c r="B34" s="29"/>
      <c r="C34" s="29"/>
      <c r="D34" s="29"/>
      <c r="E34" s="29"/>
      <c r="F34" s="29"/>
    </row>
    <row r="35" spans="1:6" ht="13.5" x14ac:dyDescent="0.35">
      <c r="A35" s="29"/>
      <c r="B35" s="29"/>
      <c r="C35" s="29"/>
      <c r="D35" s="29"/>
      <c r="E35" s="29"/>
      <c r="F35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77A0-E281-45B7-9AF8-6C5BCD1305D6}">
  <dimension ref="B3:H14"/>
  <sheetViews>
    <sheetView workbookViewId="0">
      <selection activeCell="E26" sqref="E26"/>
    </sheetView>
  </sheetViews>
  <sheetFormatPr defaultRowHeight="10.15" x14ac:dyDescent="0.3"/>
  <cols>
    <col min="1" max="1" width="5.796875" customWidth="1"/>
    <col min="2" max="2" width="36.9296875" customWidth="1"/>
    <col min="3" max="3" width="12.6640625" customWidth="1"/>
    <col min="4" max="4" width="12.06640625" customWidth="1"/>
    <col min="5" max="5" width="12.33203125" customWidth="1"/>
    <col min="6" max="6" width="13.265625" customWidth="1"/>
    <col min="7" max="7" width="12.59765625" customWidth="1"/>
    <col min="8" max="8" width="12.3984375" customWidth="1"/>
  </cols>
  <sheetData>
    <row r="3" spans="2:8" ht="13.5" x14ac:dyDescent="0.35">
      <c r="B3" s="28" t="s">
        <v>75</v>
      </c>
      <c r="C3" s="28"/>
      <c r="D3" s="28"/>
      <c r="E3" s="28"/>
      <c r="F3" s="28"/>
      <c r="G3" s="28"/>
      <c r="H3" s="28"/>
    </row>
    <row r="4" spans="2:8" ht="41.65" x14ac:dyDescent="0.4">
      <c r="B4" s="30" t="s">
        <v>16</v>
      </c>
      <c r="C4" s="31" t="s">
        <v>50</v>
      </c>
      <c r="D4" s="31" t="s">
        <v>76</v>
      </c>
      <c r="E4" s="31" t="s">
        <v>77</v>
      </c>
      <c r="F4" s="31" t="s">
        <v>51</v>
      </c>
      <c r="G4" s="31" t="s">
        <v>52</v>
      </c>
      <c r="H4" s="31" t="s">
        <v>53</v>
      </c>
    </row>
    <row r="5" spans="2:8" ht="13.9" x14ac:dyDescent="0.3">
      <c r="B5" s="32" t="s">
        <v>54</v>
      </c>
      <c r="C5" s="33"/>
      <c r="D5" s="33"/>
      <c r="E5" s="33"/>
      <c r="F5" s="33"/>
      <c r="G5" s="33"/>
      <c r="H5" s="33"/>
    </row>
    <row r="6" spans="2:8" ht="13.5" x14ac:dyDescent="0.3">
      <c r="B6" s="33" t="s">
        <v>78</v>
      </c>
      <c r="C6" s="39">
        <v>-2.2999999999999998</v>
      </c>
      <c r="D6" s="39">
        <v>-0.8</v>
      </c>
      <c r="E6" s="39">
        <v>2.1509999999999998</v>
      </c>
      <c r="F6" s="39">
        <v>0.34300000000000003</v>
      </c>
      <c r="G6" s="39">
        <v>1.9390000000000001</v>
      </c>
      <c r="H6" s="39">
        <v>-4.5</v>
      </c>
    </row>
    <row r="7" spans="2:8" ht="13.5" x14ac:dyDescent="0.3">
      <c r="B7" s="33" t="s">
        <v>79</v>
      </c>
      <c r="C7" s="39">
        <v>8.3000000000000004E-2</v>
      </c>
      <c r="D7" s="39">
        <v>-0.7</v>
      </c>
      <c r="E7" s="39">
        <v>-0.6</v>
      </c>
      <c r="F7" s="39">
        <v>-0.1</v>
      </c>
      <c r="G7" s="39">
        <v>1.9830000000000001</v>
      </c>
      <c r="H7" s="39">
        <v>0</v>
      </c>
    </row>
    <row r="8" spans="2:8" ht="13.5" x14ac:dyDescent="0.3">
      <c r="B8" s="33" t="s">
        <v>80</v>
      </c>
      <c r="C8" s="39">
        <v>-5.2</v>
      </c>
      <c r="D8" s="39">
        <v>5.718</v>
      </c>
      <c r="E8" s="39">
        <v>2.59</v>
      </c>
      <c r="F8" s="39">
        <v>-2.6</v>
      </c>
      <c r="G8" s="39">
        <v>-13.3</v>
      </c>
      <c r="H8" s="39">
        <v>5.9279999999999999</v>
      </c>
    </row>
    <row r="9" spans="2:8" ht="13.5" x14ac:dyDescent="0.3">
      <c r="B9" s="33" t="s">
        <v>81</v>
      </c>
      <c r="C9" s="39">
        <v>2.9529999999999998</v>
      </c>
      <c r="D9" s="39">
        <v>3.6920000000000002</v>
      </c>
      <c r="E9" s="39">
        <v>5.383</v>
      </c>
      <c r="F9" s="39">
        <v>3.7610000000000001</v>
      </c>
      <c r="G9" s="39">
        <v>6.1740000000000004</v>
      </c>
      <c r="H9" s="39">
        <v>5.5</v>
      </c>
    </row>
    <row r="10" spans="2:8" ht="13.5" x14ac:dyDescent="0.3">
      <c r="B10" s="33" t="s">
        <v>82</v>
      </c>
      <c r="C10" s="39">
        <v>1.3</v>
      </c>
      <c r="D10" s="39">
        <v>-0.1</v>
      </c>
      <c r="E10" s="39">
        <v>0.41099999999999998</v>
      </c>
      <c r="F10" s="39">
        <v>-1.2</v>
      </c>
      <c r="G10" s="39">
        <v>5.1920000000000002</v>
      </c>
      <c r="H10" s="39">
        <v>7.2320000000000002</v>
      </c>
    </row>
    <row r="12" spans="2:8" ht="13.5" x14ac:dyDescent="0.35">
      <c r="B12" s="29" t="s">
        <v>114</v>
      </c>
      <c r="C12" s="40">
        <f>SUM(C6:C10)</f>
        <v>-3.1640000000000006</v>
      </c>
      <c r="D12" s="40">
        <f t="shared" ref="D12:H12" si="0">SUM(D6:D10)</f>
        <v>7.8100000000000005</v>
      </c>
      <c r="E12" s="40">
        <f t="shared" si="0"/>
        <v>9.9350000000000005</v>
      </c>
      <c r="F12" s="40">
        <f t="shared" si="0"/>
        <v>0.20399999999999996</v>
      </c>
      <c r="G12" s="40">
        <f t="shared" si="0"/>
        <v>1.9880000000000004</v>
      </c>
      <c r="H12" s="40">
        <f t="shared" si="0"/>
        <v>14.16</v>
      </c>
    </row>
    <row r="14" spans="2:8" ht="15" x14ac:dyDescent="0.4">
      <c r="B14" s="29" t="s">
        <v>115</v>
      </c>
      <c r="C14" s="44">
        <f>AVERAGE(C12:G12)</f>
        <v>3.3546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A14B-F2F0-4E83-B4B8-A4DEC2B5F88F}">
  <dimension ref="B3:H12"/>
  <sheetViews>
    <sheetView workbookViewId="0">
      <selection activeCell="B27" sqref="B27"/>
    </sheetView>
  </sheetViews>
  <sheetFormatPr defaultRowHeight="10.15" x14ac:dyDescent="0.3"/>
  <cols>
    <col min="2" max="2" width="33.6640625" customWidth="1"/>
    <col min="3" max="3" width="12.53125" customWidth="1"/>
    <col min="4" max="4" width="14.19921875" customWidth="1"/>
    <col min="5" max="5" width="11.9296875" customWidth="1"/>
    <col min="6" max="6" width="13.06640625" customWidth="1"/>
    <col min="7" max="7" width="12.06640625" customWidth="1"/>
    <col min="8" max="8" width="14.46484375" customWidth="1"/>
  </cols>
  <sheetData>
    <row r="3" spans="2:8" ht="13.5" x14ac:dyDescent="0.35">
      <c r="B3" s="28" t="s">
        <v>75</v>
      </c>
      <c r="C3" s="28"/>
      <c r="D3" s="28"/>
      <c r="E3" s="28"/>
      <c r="F3" s="28"/>
      <c r="G3" s="28"/>
      <c r="H3" s="28"/>
    </row>
    <row r="4" spans="2:8" ht="41.65" x14ac:dyDescent="0.4">
      <c r="B4" s="30" t="s">
        <v>16</v>
      </c>
      <c r="C4" s="31" t="s">
        <v>50</v>
      </c>
      <c r="D4" s="31" t="s">
        <v>76</v>
      </c>
      <c r="E4" s="31" t="s">
        <v>77</v>
      </c>
      <c r="F4" s="31" t="s">
        <v>51</v>
      </c>
      <c r="G4" s="31" t="s">
        <v>52</v>
      </c>
      <c r="H4" s="31" t="s">
        <v>53</v>
      </c>
    </row>
    <row r="5" spans="2:8" ht="13.9" x14ac:dyDescent="0.4">
      <c r="B5" s="30"/>
      <c r="C5" s="31"/>
      <c r="D5" s="31"/>
      <c r="E5" s="31"/>
      <c r="F5" s="31"/>
      <c r="G5" s="31"/>
      <c r="H5" s="31"/>
    </row>
    <row r="6" spans="2:8" ht="13.5" x14ac:dyDescent="0.3">
      <c r="B6" s="33" t="s">
        <v>84</v>
      </c>
      <c r="C6" s="39">
        <v>-26.2</v>
      </c>
      <c r="D6" s="39">
        <v>-21.3</v>
      </c>
      <c r="E6" s="39">
        <v>-31.9</v>
      </c>
      <c r="F6" s="39">
        <v>-31.7</v>
      </c>
      <c r="G6" s="39">
        <v>-10.6</v>
      </c>
      <c r="H6" s="39">
        <v>-4.9000000000000004</v>
      </c>
    </row>
    <row r="7" spans="2:8" ht="13.5" x14ac:dyDescent="0.3">
      <c r="B7" s="33" t="s">
        <v>85</v>
      </c>
      <c r="C7" s="39">
        <v>0.80200000000000005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</row>
    <row r="8" spans="2:8" ht="13.9" x14ac:dyDescent="0.3">
      <c r="B8" s="32" t="s">
        <v>91</v>
      </c>
      <c r="C8" s="41">
        <f>C6+C7</f>
        <v>-25.398</v>
      </c>
      <c r="D8" s="42">
        <f>D6+D7</f>
        <v>-21.3</v>
      </c>
      <c r="E8" s="41">
        <f t="shared" ref="E8:H8" si="0">E6+E7</f>
        <v>-31.9</v>
      </c>
      <c r="F8" s="41">
        <f t="shared" si="0"/>
        <v>-31.7</v>
      </c>
      <c r="G8" s="41">
        <f t="shared" si="0"/>
        <v>-10.6</v>
      </c>
      <c r="H8" s="41">
        <f t="shared" si="0"/>
        <v>-4.9000000000000004</v>
      </c>
    </row>
    <row r="10" spans="2:8" ht="13.9" x14ac:dyDescent="0.4">
      <c r="B10" s="32" t="s">
        <v>116</v>
      </c>
      <c r="C10" s="43">
        <f>AVERAGE(C8:F8)</f>
        <v>-27.5745</v>
      </c>
    </row>
    <row r="12" spans="2:8" ht="13.5" x14ac:dyDescent="0.35">
      <c r="B12" s="29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07B4-201E-4210-A97F-7BF6EDF18B33}">
  <dimension ref="A1:M27"/>
  <sheetViews>
    <sheetView workbookViewId="0">
      <selection activeCell="E29" sqref="E29"/>
    </sheetView>
  </sheetViews>
  <sheetFormatPr defaultRowHeight="10.15" x14ac:dyDescent="0.3"/>
  <cols>
    <col min="4" max="4" width="9.19921875" customWidth="1"/>
  </cols>
  <sheetData>
    <row r="1" spans="1:13" ht="13.5" x14ac:dyDescent="0.3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3.5" x14ac:dyDescent="0.3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13.5" x14ac:dyDescent="0.35">
      <c r="A3" s="29"/>
      <c r="B3" s="29" t="s">
        <v>122</v>
      </c>
      <c r="C3" s="29"/>
      <c r="D3" s="48">
        <v>0.02</v>
      </c>
      <c r="E3" s="29"/>
      <c r="F3" s="29"/>
      <c r="G3" s="29"/>
      <c r="H3" s="29"/>
      <c r="I3" s="29"/>
      <c r="J3" s="29"/>
      <c r="K3" s="29"/>
      <c r="L3" s="29"/>
      <c r="M3" s="29"/>
    </row>
    <row r="4" spans="1:13" ht="13.5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ht="13.5" x14ac:dyDescent="0.35">
      <c r="A5" s="29"/>
      <c r="B5" s="29" t="s">
        <v>123</v>
      </c>
      <c r="C5" s="29"/>
      <c r="D5" s="29">
        <v>2.4300000000000002</v>
      </c>
      <c r="E5" s="29"/>
      <c r="F5" s="29"/>
      <c r="G5" s="29"/>
      <c r="H5" s="29"/>
      <c r="I5" s="29"/>
      <c r="J5" s="29"/>
      <c r="K5" s="29"/>
      <c r="L5" s="29"/>
      <c r="M5" s="29"/>
    </row>
    <row r="6" spans="1:13" ht="13.5" x14ac:dyDescent="0.3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ht="13.5" x14ac:dyDescent="0.35">
      <c r="A7" s="29"/>
      <c r="B7" s="29" t="s">
        <v>124</v>
      </c>
      <c r="C7" s="29"/>
      <c r="D7" s="50">
        <f>D3+2%</f>
        <v>0.04</v>
      </c>
      <c r="E7" s="29" t="s">
        <v>138</v>
      </c>
      <c r="F7" s="29"/>
      <c r="G7" s="29"/>
      <c r="H7" s="29"/>
      <c r="I7" s="29"/>
      <c r="J7" s="29"/>
      <c r="K7" s="29"/>
      <c r="L7" s="29"/>
      <c r="M7" s="29"/>
    </row>
    <row r="8" spans="1:13" ht="13.5" x14ac:dyDescent="0.3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ht="13.5" x14ac:dyDescent="0.35">
      <c r="A9" s="29"/>
      <c r="B9" s="29" t="s">
        <v>125</v>
      </c>
      <c r="C9" s="29"/>
      <c r="D9" s="49">
        <f>'Key Stats'!B29/('Key Stats'!B29+'Key Stats'!B27)</f>
        <v>0.27721818335994297</v>
      </c>
      <c r="E9" s="29"/>
      <c r="F9" s="29"/>
      <c r="G9" s="29"/>
      <c r="H9" s="29"/>
      <c r="I9" s="29"/>
      <c r="J9" s="29"/>
      <c r="K9" s="29"/>
      <c r="L9" s="29"/>
      <c r="M9" s="29"/>
    </row>
    <row r="10" spans="1:13" ht="13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ht="13.5" x14ac:dyDescent="0.35">
      <c r="A11" s="29"/>
      <c r="B11" s="29" t="s">
        <v>126</v>
      </c>
      <c r="C11" s="29"/>
      <c r="D11" s="29">
        <f>(D5+1)/2</f>
        <v>1.7150000000000001</v>
      </c>
      <c r="E11" s="29" t="s">
        <v>127</v>
      </c>
      <c r="F11" s="29"/>
      <c r="G11" s="29"/>
      <c r="H11" s="29"/>
      <c r="I11" s="29"/>
      <c r="J11" s="29"/>
      <c r="K11" s="29"/>
      <c r="L11" s="29"/>
      <c r="M11" s="29"/>
    </row>
    <row r="12" spans="1:13" ht="13.5" x14ac:dyDescent="0.3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 ht="13.5" x14ac:dyDescent="0.35">
      <c r="A13" s="29"/>
      <c r="B13" s="29" t="s">
        <v>128</v>
      </c>
      <c r="C13" s="29"/>
      <c r="D13" s="49">
        <f>D3+D11*5%</f>
        <v>0.10575000000000001</v>
      </c>
      <c r="E13" s="29"/>
      <c r="F13" s="29"/>
      <c r="G13" s="29"/>
      <c r="H13" s="29"/>
      <c r="I13" s="29"/>
      <c r="J13" s="29"/>
      <c r="K13" s="29"/>
      <c r="L13" s="29"/>
      <c r="M13" s="29"/>
    </row>
    <row r="14" spans="1:13" ht="13.5" x14ac:dyDescent="0.3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3" ht="13.5" x14ac:dyDescent="0.35">
      <c r="A15" s="29"/>
      <c r="B15" s="29" t="s">
        <v>129</v>
      </c>
      <c r="C15" s="29"/>
      <c r="D15" s="48">
        <v>0.21</v>
      </c>
      <c r="E15" s="29"/>
      <c r="F15" s="29"/>
      <c r="G15" s="29"/>
      <c r="H15" s="29"/>
      <c r="I15" s="29"/>
      <c r="J15" s="29"/>
      <c r="K15" s="29"/>
      <c r="L15" s="29"/>
      <c r="M15" s="29"/>
    </row>
    <row r="16" spans="1:13" ht="13.5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1:13" ht="13.5" x14ac:dyDescent="0.35">
      <c r="A17" s="29"/>
      <c r="B17" s="29" t="s">
        <v>130</v>
      </c>
      <c r="C17" s="29"/>
      <c r="D17" s="49">
        <f>D7*(1-D15)*D9+(1-D9)*D13</f>
        <v>8.5194271703860236E-2</v>
      </c>
      <c r="E17" s="29"/>
      <c r="F17" s="29"/>
      <c r="G17" s="29"/>
      <c r="H17" s="29"/>
      <c r="I17" s="29"/>
      <c r="J17" s="29"/>
      <c r="K17" s="29"/>
      <c r="L17" s="29"/>
      <c r="M17" s="29"/>
    </row>
    <row r="18" spans="1:13" ht="13.5" x14ac:dyDescent="0.3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13" ht="13.5" x14ac:dyDescent="0.3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3" ht="13.5" x14ac:dyDescent="0.3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1:13" ht="13.5" x14ac:dyDescent="0.3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3" ht="13.5" x14ac:dyDescent="0.3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 spans="1:13" ht="13.5" x14ac:dyDescent="0.3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1:13" ht="13.5" x14ac:dyDescent="0.3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3" ht="13.5" x14ac:dyDescent="0.3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 ht="13.5" x14ac:dyDescent="0.3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1:13" ht="13.5" x14ac:dyDescent="0.3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FC88-C6E4-4C5E-8D74-ECA2B8B0201C}">
  <dimension ref="A1:Q30"/>
  <sheetViews>
    <sheetView workbookViewId="0">
      <selection activeCell="C26" sqref="C26"/>
    </sheetView>
  </sheetViews>
  <sheetFormatPr defaultRowHeight="12.75" x14ac:dyDescent="0.3"/>
  <cols>
    <col min="3" max="3" width="12.9296875" customWidth="1"/>
    <col min="6" max="6" width="18.73046875" customWidth="1"/>
  </cols>
  <sheetData>
    <row r="1" spans="1:17" ht="13.5" x14ac:dyDescent="0.3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13.5" x14ac:dyDescent="0.35">
      <c r="A2" s="29"/>
      <c r="B2" s="29" t="s">
        <v>139</v>
      </c>
      <c r="C2" s="29"/>
      <c r="D2" s="29">
        <f>'Key Stats'!B27*1.3</f>
        <v>948.48253369999998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ht="13.5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ht="13.5" x14ac:dyDescent="0.35">
      <c r="A4" s="29"/>
      <c r="B4" s="29" t="s">
        <v>140</v>
      </c>
      <c r="C4" s="29"/>
      <c r="D4" s="29">
        <f>Valuation!B28</f>
        <v>832.67849370711156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ht="13.5" x14ac:dyDescent="0.3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ht="13.5" x14ac:dyDescent="0.35">
      <c r="A6" s="29"/>
      <c r="B6" s="29" t="s">
        <v>141</v>
      </c>
      <c r="C6" s="29"/>
      <c r="D6" s="29">
        <f>D2-D4</f>
        <v>115.80403999288842</v>
      </c>
      <c r="E6" s="29"/>
      <c r="F6" s="29"/>
      <c r="G6" s="29">
        <v>0</v>
      </c>
      <c r="H6" s="29">
        <v>1</v>
      </c>
      <c r="I6" s="29">
        <v>2</v>
      </c>
      <c r="J6" s="29"/>
      <c r="K6" s="29"/>
      <c r="L6" s="29"/>
      <c r="M6" s="29"/>
      <c r="N6" s="29"/>
      <c r="O6" s="29"/>
      <c r="P6" s="29"/>
      <c r="Q6" s="29"/>
    </row>
    <row r="7" spans="1:17" ht="13.5" x14ac:dyDescent="0.35">
      <c r="A7" s="29"/>
      <c r="B7" s="29"/>
      <c r="C7" s="29"/>
      <c r="D7" s="29"/>
      <c r="E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ht="13.5" x14ac:dyDescent="0.35">
      <c r="A8" s="29"/>
      <c r="B8" s="29"/>
      <c r="C8" s="29"/>
      <c r="D8" s="29"/>
      <c r="E8" s="29"/>
      <c r="F8" s="29" t="s">
        <v>142</v>
      </c>
      <c r="G8" s="29"/>
      <c r="H8" s="29"/>
      <c r="I8" s="29">
        <v>6.2</v>
      </c>
      <c r="J8" s="29"/>
      <c r="K8" s="29"/>
      <c r="L8" s="29"/>
      <c r="M8" s="29"/>
      <c r="N8" s="29"/>
      <c r="O8" s="29"/>
      <c r="P8" s="29"/>
      <c r="Q8" s="29"/>
    </row>
    <row r="9" spans="1:17" ht="13.5" x14ac:dyDescent="0.3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7" ht="13.5" x14ac:dyDescent="0.35">
      <c r="A10" s="29"/>
      <c r="B10" s="29"/>
      <c r="C10" s="29"/>
      <c r="D10" s="29"/>
      <c r="E10" s="29"/>
      <c r="F10" s="29" t="s">
        <v>143</v>
      </c>
      <c r="G10" s="48">
        <v>0.02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7" ht="13.5" x14ac:dyDescent="0.3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7" ht="13.5" x14ac:dyDescent="0.35">
      <c r="A12" s="29"/>
      <c r="B12" s="29"/>
      <c r="C12" s="29"/>
      <c r="D12" s="29"/>
      <c r="E12" s="29"/>
      <c r="F12" s="29" t="s">
        <v>130</v>
      </c>
      <c r="G12" s="48">
        <v>7.0000000000000007E-2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7" ht="13.5" x14ac:dyDescent="0.3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ht="13.5" x14ac:dyDescent="0.35">
      <c r="A14" s="29"/>
      <c r="B14" s="29"/>
      <c r="C14" s="29"/>
      <c r="D14" s="29"/>
      <c r="E14" s="29"/>
      <c r="F14" s="29" t="s">
        <v>144</v>
      </c>
      <c r="G14" s="29">
        <f>(I8/(G12-G10))/(1+G12)</f>
        <v>115.88785046728971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ht="13.5" x14ac:dyDescent="0.3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7" ht="13.5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ht="13.5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ht="13.5" x14ac:dyDescent="0.3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ht="13.5" x14ac:dyDescent="0.3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ht="13.5" x14ac:dyDescent="0.3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ht="13.5" x14ac:dyDescent="0.3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ht="13.5" x14ac:dyDescent="0.3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ht="13.5" x14ac:dyDescent="0.3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ht="13.5" x14ac:dyDescent="0.3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 ht="13.5" x14ac:dyDescent="0.3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1:17" ht="13.5" x14ac:dyDescent="0.3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 ht="13.5" x14ac:dyDescent="0.3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ht="13.5" x14ac:dyDescent="0.3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ht="13.5" x14ac:dyDescent="0.3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ht="13.5" x14ac:dyDescent="0.3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Key Stats</vt:lpstr>
      <vt:lpstr>Cash Flow Statement</vt:lpstr>
      <vt:lpstr>Valuation</vt:lpstr>
      <vt:lpstr>Working capital</vt:lpstr>
      <vt:lpstr>Capital Expenditures</vt:lpstr>
      <vt:lpstr>WACC</vt:lpstr>
      <vt:lpstr>Synergy</vt:lpstr>
      <vt:lpstr>'Cash Flow Statement'!Print_Titles</vt:lpstr>
      <vt:lpstr>'Key Stats'!Print_Titles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2021-09-30T19:10:11Z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