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4"/>
  <workbookPr codeName="DieseArbeitsmappe"/>
  <mc:AlternateContent xmlns:mc="http://schemas.openxmlformats.org/markup-compatibility/2006">
    <mc:Choice Requires="x15">
      <x15ac:absPath xmlns:x15ac="http://schemas.microsoft.com/office/spreadsheetml/2010/11/ac" url="\\heart.sefep.lan\Allmende_Energie\06_Projects\2022\2022-07_DE_PTJ_Trans4Real\30_Research_(internal)\AP5_Umfeld\03_LCOH system boundaries\06_Tool\"/>
    </mc:Choice>
  </mc:AlternateContent>
  <xr:revisionPtr revIDLastSave="0" documentId="13_ncr:1_{2223854D-08A9-4870-B695-D50FF9924B08}" xr6:coauthVersionLast="47" xr6:coauthVersionMax="47" xr10:uidLastSave="{00000000-0000-0000-0000-000000000000}"/>
  <bookViews>
    <workbookView xWindow="840" yWindow="-103" windowWidth="15720" windowHeight="10492" tabRatio="725" xr2:uid="{00000000-000D-0000-FFFF-FFFF00000000}"/>
  </bookViews>
  <sheets>
    <sheet name="Imprint_Disclaimer" sheetId="21" r:id="rId1"/>
    <sheet name="Dashboard" sheetId="15" r:id="rId2"/>
    <sheet name="Backend_calculations" sheetId="16" r:id="rId3"/>
    <sheet name="Hints" sheetId="6" r:id="rId4"/>
    <sheet name="References" sheetId="19" r:id="rId5"/>
  </sheets>
  <definedNames>
    <definedName name="Annuitätenfaktor">#REF!</definedName>
    <definedName name="CAPEX">#REF!</definedName>
    <definedName name="Das_ist_AD7">#REF!</definedName>
    <definedName name="Förderung_prozent">#REF!</definedName>
    <definedName name="Heizwert_Wasserstoff">#REF!</definedName>
    <definedName name="kalkulatorischer_Zinssatz">#REF!</definedName>
    <definedName name="q">#REF!</definedName>
    <definedName name="q_Zinssatz">#REF!</definedName>
    <definedName name="Lebensdauer">#REF!</definedName>
    <definedName name="OPEX_prozent">#REF!</definedName>
    <definedName name="WirkungsgradElektrolyseu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15" l="1"/>
  <c r="M29" i="16" l="1"/>
  <c r="F34" i="16" l="1"/>
  <c r="F35" i="16"/>
  <c r="D54" i="16"/>
  <c r="K30" i="16"/>
  <c r="F16" i="15" l="1"/>
  <c r="F25" i="15" l="1"/>
  <c r="F12" i="15"/>
  <c r="F40" i="16" l="1"/>
  <c r="F36" i="16"/>
  <c r="C50" i="16"/>
  <c r="I27" i="16"/>
  <c r="L29" i="16"/>
  <c r="F39" i="16"/>
  <c r="F37" i="16" l="1"/>
  <c r="F42" i="16" s="1"/>
  <c r="E20" i="16"/>
  <c r="D20" i="16"/>
  <c r="C20" i="16"/>
  <c r="B20" i="16"/>
  <c r="I9" i="16"/>
  <c r="H9" i="16"/>
  <c r="G9" i="16"/>
  <c r="F9" i="16"/>
  <c r="F38" i="16" l="1"/>
  <c r="F43" i="16" s="1"/>
  <c r="F4" i="16" l="1"/>
  <c r="F2" i="16"/>
  <c r="F5" i="16"/>
  <c r="F7" i="16" l="1"/>
  <c r="F14" i="15" l="1"/>
  <c r="F31" i="15" l="1"/>
  <c r="F37" i="15" s="1"/>
  <c r="R28" i="16" s="1"/>
  <c r="F49" i="16"/>
  <c r="F48" i="16"/>
  <c r="F47" i="16"/>
  <c r="I28" i="16"/>
  <c r="F50" i="16"/>
  <c r="G31" i="16"/>
  <c r="I31" i="16"/>
  <c r="H28" i="16"/>
  <c r="L30" i="16"/>
  <c r="O30" i="16" s="1"/>
  <c r="G28" i="16"/>
  <c r="H31" i="16"/>
  <c r="F28" i="16"/>
  <c r="D28" i="16"/>
  <c r="E28" i="16"/>
  <c r="F39" i="15"/>
  <c r="R30" i="16" s="1"/>
  <c r="F45" i="16"/>
  <c r="D31" i="16" s="1"/>
  <c r="D52" i="16"/>
  <c r="D53" i="16" s="1"/>
  <c r="F46" i="16"/>
  <c r="E31" i="16" s="1"/>
  <c r="F31" i="16"/>
  <c r="F15" i="16" l="1"/>
  <c r="H15" i="16" s="1"/>
  <c r="F38" i="15"/>
  <c r="J29" i="16" s="1"/>
  <c r="O29" i="16" s="1"/>
  <c r="F11" i="16"/>
  <c r="H11" i="16" s="1"/>
  <c r="F13" i="16"/>
  <c r="H13" i="16" s="1"/>
  <c r="F12" i="16"/>
  <c r="H12" i="16" s="1"/>
  <c r="G10" i="16"/>
  <c r="I10" i="16" s="1"/>
  <c r="G15" i="16"/>
  <c r="I15" i="16" s="1"/>
  <c r="G12" i="16"/>
  <c r="I12" i="16" s="1"/>
  <c r="G16" i="16"/>
  <c r="I16" i="16" s="1"/>
  <c r="G11" i="16"/>
  <c r="I11" i="16" s="1"/>
  <c r="G14" i="16"/>
  <c r="I14" i="16" s="1"/>
  <c r="F10" i="16"/>
  <c r="H10" i="16" s="1"/>
  <c r="G13" i="16"/>
  <c r="I13" i="16" s="1"/>
  <c r="F16" i="16"/>
  <c r="H16" i="16" s="1"/>
  <c r="F14" i="16"/>
  <c r="H14" i="16" s="1"/>
  <c r="O28" i="16"/>
  <c r="C29" i="16" s="1"/>
  <c r="F40" i="15"/>
  <c r="O31" i="16"/>
  <c r="R29" i="16" l="1"/>
  <c r="F33" i="15"/>
  <c r="F35" i="15" s="1"/>
  <c r="C30" i="16"/>
  <c r="C31" i="16" s="1"/>
  <c r="N32" i="16"/>
  <c r="R31" i="16"/>
  <c r="D24" i="16" l="1"/>
  <c r="D25" i="16"/>
  <c r="F34" i="15"/>
  <c r="L7" i="15"/>
  <c r="D22" i="16"/>
  <c r="D23"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Nigbur, Florian</author>
    <author>matthias.deutsch</author>
  </authors>
  <commentList>
    <comment ref="B23" authorId="0" shapeId="0" xr:uid="{B4D86850-A469-4230-88F4-D06727A76794}">
      <text>
        <r>
          <rPr>
            <sz val="9"/>
            <color rgb="FF000000"/>
            <rFont val="Segoe UI"/>
            <family val="2"/>
            <charset val="1"/>
          </rPr>
          <t xml:space="preserve">includes CAPEX for all components belonging to the electrolyser system (including an initial stack)
</t>
        </r>
      </text>
    </comment>
    <comment ref="B30" authorId="1" shapeId="0" xr:uid="{E051F9F8-18F7-4164-A683-61C218382DDE}">
      <text>
        <r>
          <rPr>
            <sz val="9"/>
            <color indexed="81"/>
            <rFont val="Segoe UI"/>
            <family val="2"/>
          </rPr>
          <t xml:space="preserve">This cell offers the user the opportunity to add a further CAPEX cost item with the unit of €/kW. This will also appear in the waterfall diagramm.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Nigbur, Florian</author>
  </authors>
  <commentList>
    <comment ref="D27" authorId="0" shapeId="0" xr:uid="{3DE68526-2CDC-415F-B6C8-DA8C477E6510}">
      <text>
        <r>
          <rPr>
            <sz val="9"/>
            <color indexed="81"/>
            <rFont val="Segoe UI"/>
            <family val="2"/>
          </rPr>
          <t>including initial stack</t>
        </r>
      </text>
    </comment>
    <comment ref="E27" authorId="0" shapeId="0" xr:uid="{EE708E91-8376-4E8D-A1FA-89BDEBAFF452}">
      <text>
        <r>
          <rPr>
            <sz val="9"/>
            <color indexed="81"/>
            <rFont val="Segoe UI"/>
            <family val="2"/>
          </rPr>
          <t xml:space="preserve">costs for replaced stack(s) until end of lifetime electrolyzer system (excluding initial stack)
</t>
        </r>
      </text>
    </comment>
    <comment ref="C46" authorId="0" shapeId="0" xr:uid="{0E9BE19F-52D6-4D67-9FC2-5A82B81F70A3}">
      <text>
        <r>
          <rPr>
            <sz val="9"/>
            <color indexed="81"/>
            <rFont val="Segoe UI"/>
            <family val="2"/>
          </rPr>
          <t xml:space="preserve">costs for replaced stack(s) until end of lifetime electrolyzer system (excluding initial stack)
</t>
        </r>
      </text>
    </comment>
  </commentList>
</comments>
</file>

<file path=xl/sharedStrings.xml><?xml version="1.0" encoding="utf-8"?>
<sst xmlns="http://schemas.openxmlformats.org/spreadsheetml/2006/main" count="226" uniqueCount="158">
  <si>
    <t>Levelised Cost of Hydrogen Calculation Tool</t>
  </si>
  <si>
    <t>developed by:</t>
  </si>
  <si>
    <t>umlaut energy GmbH</t>
  </si>
  <si>
    <t>commissioned by</t>
  </si>
  <si>
    <t>Agora Energiewende</t>
  </si>
  <si>
    <t>Am Kraftversorgungsturm 3</t>
  </si>
  <si>
    <t>Anna-Louisa-Karsch-Str. 2</t>
  </si>
  <si>
    <t>52070 Aachen</t>
  </si>
  <si>
    <t>10178 Berlin</t>
  </si>
  <si>
    <t>Germany</t>
  </si>
  <si>
    <t>https://www.umlaut.com</t>
  </si>
  <si>
    <t>www.agora-energiewende.de</t>
  </si>
  <si>
    <t>Contact umlaut:</t>
  </si>
  <si>
    <t>patrick.wienert@accenture.com</t>
  </si>
  <si>
    <t>Authors:</t>
  </si>
  <si>
    <t>Dr Florian Nigbur</t>
  </si>
  <si>
    <t>Dr Martin Robinius</t>
  </si>
  <si>
    <t>Patrick Wienert</t>
  </si>
  <si>
    <t>© umlaut and Agora Energiewende. All rights reserved.</t>
  </si>
  <si>
    <t xml:space="preserve">The use of the methods, standard data and results is only permitted with reference to the authors and </t>
  </si>
  <si>
    <t>Last update:</t>
  </si>
  <si>
    <t>to Agora Energiewende.</t>
  </si>
  <si>
    <t>Model version:</t>
  </si>
  <si>
    <t>1.0</t>
  </si>
  <si>
    <t>Suggested citation:</t>
  </si>
  <si>
    <t xml:space="preserve">Umlaut &amp; Agora Industry (2023): </t>
  </si>
  <si>
    <t>Contact:</t>
  </si>
  <si>
    <t>info@agora-energiewende.de</t>
  </si>
  <si>
    <t>Levelized cost of hydrogen calculation tool</t>
  </si>
  <si>
    <t>Version 1.0</t>
  </si>
  <si>
    <t>User input</t>
  </si>
  <si>
    <t>LCOH</t>
  </si>
  <si>
    <r>
      <t>€/kgH</t>
    </r>
    <r>
      <rPr>
        <b/>
        <vertAlign val="subscript"/>
        <sz val="16"/>
        <color theme="0"/>
        <rFont val="Calibri"/>
        <family val="2"/>
        <scheme val="minor"/>
      </rPr>
      <t>2</t>
    </r>
  </si>
  <si>
    <t>System
specification</t>
  </si>
  <si>
    <t>Discount rate</t>
  </si>
  <si>
    <t>%</t>
  </si>
  <si>
    <t>Lifetime electrolyzer system</t>
  </si>
  <si>
    <t>a</t>
  </si>
  <si>
    <t>Lifetime stack (manufacturer's data)</t>
  </si>
  <si>
    <t>h</t>
  </si>
  <si>
    <t>Annuity factor</t>
  </si>
  <si>
    <t>-</t>
  </si>
  <si>
    <t>Specific energy consumption</t>
  </si>
  <si>
    <r>
      <t>kWh/kgH</t>
    </r>
    <r>
      <rPr>
        <vertAlign val="subscript"/>
        <sz val="11"/>
        <color theme="0"/>
        <rFont val="Calibri"/>
        <family val="2"/>
        <scheme val="minor"/>
      </rPr>
      <t>2</t>
    </r>
  </si>
  <si>
    <t>Energy consumption (pressure&lt;30bar)</t>
  </si>
  <si>
    <t>Full load hours</t>
  </si>
  <si>
    <t>Capacity factor</t>
  </si>
  <si>
    <t>System pressure</t>
  </si>
  <si>
    <t>bar</t>
  </si>
  <si>
    <t>Compressor efficiency</t>
  </si>
  <si>
    <t>Electricity costs</t>
  </si>
  <si>
    <t>€/MWh</t>
  </si>
  <si>
    <r>
      <t>O</t>
    </r>
    <r>
      <rPr>
        <vertAlign val="subscript"/>
        <sz val="11"/>
        <color theme="0"/>
        <rFont val="Calibri"/>
        <family val="2"/>
        <scheme val="minor"/>
      </rPr>
      <t>2</t>
    </r>
    <r>
      <rPr>
        <sz val="11"/>
        <color theme="0"/>
        <rFont val="Calibri"/>
        <family val="2"/>
        <scheme val="minor"/>
      </rPr>
      <t xml:space="preserve"> selling price</t>
    </r>
  </si>
  <si>
    <r>
      <t>€/kgO</t>
    </r>
    <r>
      <rPr>
        <vertAlign val="subscript"/>
        <sz val="11"/>
        <color theme="0"/>
        <rFont val="Calibri"/>
        <family val="2"/>
        <scheme val="minor"/>
      </rPr>
      <t>2</t>
    </r>
  </si>
  <si>
    <t>Heat selling price</t>
  </si>
  <si>
    <t>OPEX</t>
  </si>
  <si>
    <t>% of CAPEX per year</t>
  </si>
  <si>
    <t>Input CAPEX</t>
  </si>
  <si>
    <t>CAPEX electrolyzer system</t>
  </si>
  <si>
    <t>€/kW</t>
  </si>
  <si>
    <t>Input sensitivity:</t>
  </si>
  <si>
    <t>EPC</t>
  </si>
  <si>
    <t>% of CAPEX electrolyzer system</t>
  </si>
  <si>
    <t>Lifetime stack (calculated)</t>
  </si>
  <si>
    <t>Stack replacement costs</t>
  </si>
  <si>
    <t>CAPEX system without stack</t>
  </si>
  <si>
    <t>Compressor costs</t>
  </si>
  <si>
    <t>€/kW compressor</t>
  </si>
  <si>
    <t>Building</t>
  </si>
  <si>
    <t>CAPEX free user input</t>
  </si>
  <si>
    <t>Total CAPEX</t>
  </si>
  <si>
    <r>
      <t>€/kgH</t>
    </r>
    <r>
      <rPr>
        <vertAlign val="subscript"/>
        <sz val="11"/>
        <color theme="0"/>
        <rFont val="Calibri"/>
        <family val="2"/>
        <scheme val="minor"/>
      </rPr>
      <t>2</t>
    </r>
  </si>
  <si>
    <r>
      <t>LCOH (incl. sale of heat and O</t>
    </r>
    <r>
      <rPr>
        <vertAlign val="subscript"/>
        <sz val="11"/>
        <color theme="0"/>
        <rFont val="Calibri"/>
        <family val="2"/>
        <scheme val="minor"/>
      </rPr>
      <t>2</t>
    </r>
    <r>
      <rPr>
        <sz val="11"/>
        <color theme="0"/>
        <rFont val="Calibri"/>
        <family val="2"/>
        <scheme val="minor"/>
      </rPr>
      <t>)</t>
    </r>
  </si>
  <si>
    <t>LCOH (LHV specific)</t>
  </si>
  <si>
    <r>
      <t>€/kWhH</t>
    </r>
    <r>
      <rPr>
        <vertAlign val="subscript"/>
        <sz val="11"/>
        <color theme="0"/>
        <rFont val="Calibri"/>
        <family val="2"/>
        <scheme val="minor"/>
      </rPr>
      <t>2</t>
    </r>
    <r>
      <rPr>
        <sz val="11"/>
        <color theme="0"/>
        <rFont val="Calibri"/>
        <family val="2"/>
        <scheme val="minor"/>
      </rPr>
      <t>,LHV</t>
    </r>
  </si>
  <si>
    <t>Overarching cost drivers</t>
  </si>
  <si>
    <t>CAPEX depreciation</t>
  </si>
  <si>
    <t>Cost of capital</t>
  </si>
  <si>
    <t>Calculation
compression</t>
  </si>
  <si>
    <t>P_out</t>
  </si>
  <si>
    <t>Outlet pressure</t>
  </si>
  <si>
    <t>P_in</t>
  </si>
  <si>
    <t>Inlet pressure</t>
  </si>
  <si>
    <t>k</t>
  </si>
  <si>
    <t>Heat capacity ratio</t>
  </si>
  <si>
    <t>n_tot</t>
  </si>
  <si>
    <t>Total efficiency</t>
  </si>
  <si>
    <t>T_amb</t>
  </si>
  <si>
    <t>Ambient temperature</t>
  </si>
  <si>
    <t>K</t>
  </si>
  <si>
    <t>c_p,H2</t>
  </si>
  <si>
    <t>Heat capacity H2</t>
  </si>
  <si>
    <t>kJ/kgK</t>
  </si>
  <si>
    <t>P_el,H2</t>
  </si>
  <si>
    <t>Energy demand per kg H2</t>
  </si>
  <si>
    <t>kWh/kgH2</t>
  </si>
  <si>
    <t>Calculations
tornado diagram</t>
  </si>
  <si>
    <t>CAPEX</t>
  </si>
  <si>
    <t>[€/kgH2]</t>
  </si>
  <si>
    <t>Lifetime electrolysis system</t>
  </si>
  <si>
    <t>[a]</t>
  </si>
  <si>
    <t>[h]</t>
  </si>
  <si>
    <t>[kWh/kgH2]</t>
  </si>
  <si>
    <t>Discount rate [%]</t>
  </si>
  <si>
    <t>Lifetime electrolysis system  [a]</t>
  </si>
  <si>
    <t>"-20%"</t>
  </si>
  <si>
    <t>"+20%"</t>
  </si>
  <si>
    <t>Pie chart</t>
  </si>
  <si>
    <t>Waterfall diagramm</t>
  </si>
  <si>
    <t>Electrolyser system [€/kgH2]</t>
  </si>
  <si>
    <t>Stack replacement [€/kgH2]</t>
  </si>
  <si>
    <t>EPC [€/kgH2]</t>
  </si>
  <si>
    <t>Building [€/kgH2]</t>
  </si>
  <si>
    <t>Compressor costs [€/kgH2]</t>
  </si>
  <si>
    <t>OPEX [€/kgH2]</t>
  </si>
  <si>
    <t>Electricity costs [€/kgH2]</t>
  </si>
  <si>
    <t>Electricity costs compression [€/kgH2]</t>
  </si>
  <si>
    <t>Cost of capital [€/kgH2]</t>
  </si>
  <si>
    <t>Total LCOH [€/kgH2]</t>
  </si>
  <si>
    <t>Total of LCOH components [€/kgH2]</t>
  </si>
  <si>
    <t>Soll</t>
  </si>
  <si>
    <t>CAPEX depreciation [€/kgH2]</t>
  </si>
  <si>
    <t>Cost of capital  [€/kgH2]</t>
  </si>
  <si>
    <t>Calculations
stack replacement and capital costs</t>
  </si>
  <si>
    <t>Annuity and
depreciation</t>
  </si>
  <si>
    <t>CAPEX Stack</t>
  </si>
  <si>
    <t xml:space="preserve">Annuity factor system without stack </t>
  </si>
  <si>
    <t xml:space="preserve">Annuity factor stack </t>
  </si>
  <si>
    <t xml:space="preserve">Annuity system without stack </t>
  </si>
  <si>
    <t xml:space="preserve">Annuity  stack </t>
  </si>
  <si>
    <t>Depreciation system without stack</t>
  </si>
  <si>
    <t>€/kWa</t>
  </si>
  <si>
    <t>Depreciation stack</t>
  </si>
  <si>
    <t>Cost of capital system</t>
  </si>
  <si>
    <t>Cost of capital stack</t>
  </si>
  <si>
    <t>CAPEX electrolyser system</t>
  </si>
  <si>
    <t>€/kgH2</t>
  </si>
  <si>
    <t>CAPEX stack replacement</t>
  </si>
  <si>
    <t>Calculations
Heat and O2</t>
  </si>
  <si>
    <t>Sellable heat</t>
  </si>
  <si>
    <t>Sellable heat price</t>
  </si>
  <si>
    <r>
      <t>Sellable O</t>
    </r>
    <r>
      <rPr>
        <vertAlign val="subscript"/>
        <sz val="11"/>
        <color theme="0"/>
        <rFont val="Calibri"/>
        <family val="2"/>
        <scheme val="minor"/>
      </rPr>
      <t>2</t>
    </r>
  </si>
  <si>
    <t>User input cell</t>
  </si>
  <si>
    <t>Instructions</t>
  </si>
  <si>
    <t>System specification</t>
  </si>
  <si>
    <t>Energy consumption (pressure &lt; 30bar)</t>
  </si>
  <si>
    <t>If the system pressure is below the reference pressure of 30 bar, the cell returns the energy consumption calculated with the extra energy demand for the compression to 30 bar depending on compressor efficiency.</t>
  </si>
  <si>
    <t>If the system pressure is below 30 bar, the user should enter a value for the efficiency of the compressor. This is needed for the calculation of the new energy consumption.</t>
  </si>
  <si>
    <t xml:space="preserve">A percentage value for the OPEX from the CAPEX should be entered here. </t>
  </si>
  <si>
    <t>Compression costs</t>
  </si>
  <si>
    <t>The user can enter the compression costs with the unit Euros per kW of the considered compressor. The tool will calculate the corresponding value with regards of the electrolyzer system.</t>
  </si>
  <si>
    <t>CAPEX user input</t>
  </si>
  <si>
    <t>This cell offers the user the opportunity to add a further CAPEX cost item with the unit of €/kW. This will also appear in the waterfall diagramm.</t>
  </si>
  <si>
    <t>Diagramms</t>
  </si>
  <si>
    <t>Input sensitivity</t>
  </si>
  <si>
    <t>With the cell input sensitivity below the tornado diagram, the user can change the sensitivity of the displayed values. However the value needs to be in the range of 1 to 100%.</t>
  </si>
  <si>
    <t>Detailed recommendations for the calculation of LCOH are reported in "Levelised cost of hydrogen: Making the application of the LCOH concept more consistent and more useful".</t>
  </si>
  <si>
    <t>https://www.agora-energiewende.de/en/publications/levelised-cost-of-hydrogen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</si>
</sst>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
    <numFmt numFmtId="167" formatCode="0.000"/>
  </numFmts>
  <fonts count="23">
    <font>
      <sz val="11"/>
      <color theme="1"/>
      <name val="Calibri"/>
      <family val="2"/>
      <scheme val="minor"/>
    </font>
    <font>
      <b/>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8"/>
      <color theme="0"/>
      <name val="Calibri"/>
      <family val="2"/>
      <scheme val="minor"/>
    </font>
    <font>
      <sz val="10"/>
      <color theme="1"/>
      <name val="Calibri"/>
      <family val="2"/>
      <scheme val="minor"/>
    </font>
    <font>
      <sz val="10"/>
      <color theme="1"/>
      <name val="Arial"/>
      <family val="2"/>
    </font>
    <font>
      <b/>
      <sz val="22"/>
      <name val="Calibri"/>
      <family val="2"/>
      <scheme val="minor"/>
    </font>
    <font>
      <b/>
      <sz val="18"/>
      <name val="Calibri"/>
      <family val="2"/>
      <scheme val="minor"/>
    </font>
    <font>
      <b/>
      <sz val="16"/>
      <color theme="0"/>
      <name val="Calibri"/>
      <family val="2"/>
      <scheme val="minor"/>
    </font>
    <font>
      <sz val="11"/>
      <color theme="1"/>
      <name val="Calibri"/>
      <family val="2"/>
      <scheme val="minor"/>
    </font>
    <font>
      <vertAlign val="subscript"/>
      <sz val="11"/>
      <color theme="0"/>
      <name val="Calibri"/>
      <family val="2"/>
      <scheme val="minor"/>
    </font>
    <font>
      <b/>
      <vertAlign val="subscript"/>
      <sz val="16"/>
      <color theme="0"/>
      <name val="Calibri"/>
      <family val="2"/>
      <scheme val="minor"/>
    </font>
    <font>
      <sz val="11"/>
      <color rgb="FFFF0000"/>
      <name val="Calibri"/>
      <family val="2"/>
      <scheme val="minor"/>
    </font>
    <font>
      <u/>
      <sz val="11"/>
      <color theme="10"/>
      <name val="Calibri"/>
      <family val="2"/>
      <scheme val="minor"/>
    </font>
    <font>
      <sz val="10"/>
      <name val="Arial"/>
      <family val="2"/>
    </font>
    <font>
      <b/>
      <sz val="12"/>
      <name val="Arial"/>
      <family val="2"/>
    </font>
    <font>
      <u/>
      <sz val="10"/>
      <color indexed="12"/>
      <name val="Arial"/>
      <family val="2"/>
    </font>
    <font>
      <sz val="9"/>
      <color indexed="81"/>
      <name val="Segoe UI"/>
      <family val="2"/>
    </font>
    <font>
      <sz val="10"/>
      <color rgb="FFFF0000"/>
      <name val="Arial"/>
      <family val="2"/>
    </font>
    <font>
      <sz val="9"/>
      <color rgb="FF000000"/>
      <name val="Segoe UI"/>
      <family val="2"/>
      <charset val="1"/>
    </font>
    <font>
      <i/>
      <sz val="10"/>
      <color theme="1"/>
      <name val="Arial"/>
      <family val="2"/>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8CADC3"/>
        <bgColor indexed="64"/>
      </patternFill>
    </fill>
    <fill>
      <patternFill patternType="solid">
        <fgColor rgb="FF65B070"/>
        <bgColor indexed="64"/>
      </patternFill>
    </fill>
    <fill>
      <patternFill patternType="solid">
        <fgColor rgb="FFAD86B0"/>
        <bgColor indexed="64"/>
      </patternFill>
    </fill>
    <fill>
      <patternFill patternType="solid">
        <fgColor rgb="FF617494"/>
        <bgColor indexed="64"/>
      </patternFill>
    </fill>
    <fill>
      <patternFill patternType="solid">
        <fgColor rgb="FF48A8AE"/>
        <bgColor indexed="64"/>
      </patternFill>
    </fill>
    <fill>
      <patternFill patternType="solid">
        <fgColor rgb="FF8393BE"/>
        <bgColor indexed="64"/>
      </patternFill>
    </fill>
    <fill>
      <patternFill patternType="solid">
        <fgColor rgb="FF1E83B3"/>
        <bgColor indexed="64"/>
      </patternFill>
    </fill>
    <fill>
      <patternFill patternType="solid">
        <fgColor theme="0" tint="-4.9989318521683403E-2"/>
        <bgColor indexed="64"/>
      </patternFill>
    </fill>
    <fill>
      <patternFill patternType="solid">
        <fgColor rgb="FFE3E4EA"/>
        <bgColor indexed="64"/>
      </patternFill>
    </fill>
  </fills>
  <borders count="85">
    <border>
      <left/>
      <right/>
      <top/>
      <bottom/>
      <diagonal/>
    </border>
    <border>
      <left style="thin">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right/>
      <top style="medium">
        <color rgb="FF8393BE"/>
      </top>
      <bottom/>
      <diagonal/>
    </border>
    <border>
      <left/>
      <right/>
      <top style="medium">
        <color rgb="FF8393BE"/>
      </top>
      <bottom style="medium">
        <color rgb="FF8393BE"/>
      </bottom>
      <diagonal/>
    </border>
    <border>
      <left/>
      <right/>
      <top/>
      <bottom style="medium">
        <color rgb="FF8393BE"/>
      </bottom>
      <diagonal/>
    </border>
    <border>
      <left/>
      <right style="thin">
        <color theme="0" tint="-0.499984740745262"/>
      </right>
      <top style="medium">
        <color rgb="FF48A8AE"/>
      </top>
      <bottom/>
      <diagonal/>
    </border>
    <border>
      <left/>
      <right/>
      <top style="medium">
        <color rgb="FF48A8AE"/>
      </top>
      <bottom/>
      <diagonal/>
    </border>
    <border>
      <left style="thin">
        <color theme="0" tint="-0.499984740745262"/>
      </left>
      <right style="thin">
        <color theme="0" tint="-0.499984740745262"/>
      </right>
      <top style="medium">
        <color rgb="FF48A8AE"/>
      </top>
      <bottom style="thin">
        <color theme="0" tint="-0.499984740745262"/>
      </bottom>
      <diagonal/>
    </border>
    <border>
      <left/>
      <right/>
      <top/>
      <bottom style="medium">
        <color rgb="FF48A8AE"/>
      </bottom>
      <diagonal/>
    </border>
    <border>
      <left/>
      <right style="thin">
        <color theme="0" tint="-0.499984740745262"/>
      </right>
      <top/>
      <bottom style="medium">
        <color rgb="FF48A8AE"/>
      </bottom>
      <diagonal/>
    </border>
    <border>
      <left style="thin">
        <color theme="0" tint="-0.499984740745262"/>
      </left>
      <right style="thin">
        <color theme="0" tint="-0.499984740745262"/>
      </right>
      <top style="thin">
        <color theme="0" tint="-0.499984740745262"/>
      </top>
      <bottom style="medium">
        <color rgb="FF48A8AE"/>
      </bottom>
      <diagonal/>
    </border>
    <border>
      <left style="thin">
        <color theme="0" tint="-0.499984740745262"/>
      </left>
      <right style="thin">
        <color theme="0" tint="-0.499984740745262"/>
      </right>
      <top/>
      <bottom/>
      <diagonal/>
    </border>
    <border>
      <left style="thin">
        <color theme="0" tint="-0.499984740745262"/>
      </left>
      <right style="medium">
        <color rgb="FF48A8AE"/>
      </right>
      <top style="thin">
        <color theme="0" tint="-0.499984740745262"/>
      </top>
      <bottom style="medium">
        <color rgb="FF48A8AE"/>
      </bottom>
      <diagonal/>
    </border>
    <border>
      <left style="thin">
        <color theme="0" tint="-0.499984740745262"/>
      </left>
      <right style="medium">
        <color rgb="FF48A8AE"/>
      </right>
      <top style="thin">
        <color theme="0" tint="-0.499984740745262"/>
      </top>
      <bottom style="thin">
        <color theme="0" tint="-0.499984740745262"/>
      </bottom>
      <diagonal/>
    </border>
    <border>
      <left style="thin">
        <color theme="0" tint="-0.499984740745262"/>
      </left>
      <right style="medium">
        <color rgb="FF48A8AE"/>
      </right>
      <top style="medium">
        <color rgb="FF48A8AE"/>
      </top>
      <bottom style="thin">
        <color theme="0" tint="-0.499984740745262"/>
      </bottom>
      <diagonal/>
    </border>
    <border>
      <left/>
      <right/>
      <top/>
      <bottom style="medium">
        <color rgb="FF1E83B3"/>
      </bottom>
      <diagonal/>
    </border>
    <border>
      <left style="thin">
        <color theme="0" tint="-0.499984740745262"/>
      </left>
      <right style="thin">
        <color theme="0" tint="-0.499984740745262"/>
      </right>
      <top style="thin">
        <color theme="0" tint="-0.499984740745262"/>
      </top>
      <bottom style="medium">
        <color rgb="FF1E83B3"/>
      </bottom>
      <diagonal/>
    </border>
    <border>
      <left style="thin">
        <color theme="0" tint="-0.499984740745262"/>
      </left>
      <right/>
      <top style="thin">
        <color theme="0" tint="-0.499984740745262"/>
      </top>
      <bottom style="medium">
        <color rgb="FF1E83B3"/>
      </bottom>
      <diagonal/>
    </border>
    <border>
      <left/>
      <right/>
      <top style="thin">
        <color theme="0" tint="-0.499984740745262"/>
      </top>
      <bottom style="medium">
        <color rgb="FF1E83B3"/>
      </bottom>
      <diagonal/>
    </border>
    <border>
      <left/>
      <right style="thin">
        <color theme="0" tint="-0.499984740745262"/>
      </right>
      <top style="thin">
        <color theme="0" tint="-0.499984740745262"/>
      </top>
      <bottom style="medium">
        <color rgb="FF1E83B3"/>
      </bottom>
      <diagonal/>
    </border>
    <border>
      <left style="thin">
        <color theme="0" tint="-0.499984740745262"/>
      </left>
      <right style="medium">
        <color rgb="FF1E83B3"/>
      </right>
      <top style="thin">
        <color theme="0" tint="-0.499984740745262"/>
      </top>
      <bottom style="medium">
        <color rgb="FF1E83B3"/>
      </bottom>
      <diagonal/>
    </border>
    <border>
      <left style="thin">
        <color theme="0" tint="-0.499984740745262"/>
      </left>
      <right style="medium">
        <color rgb="FF1E83B3"/>
      </right>
      <top style="thin">
        <color theme="0" tint="-0.499984740745262"/>
      </top>
      <bottom style="thin">
        <color theme="0" tint="-0.499984740745262"/>
      </bottom>
      <diagonal/>
    </border>
    <border>
      <left style="thin">
        <color theme="0" tint="-0.499984740745262"/>
      </left>
      <right style="medium">
        <color rgb="FF1E83B3"/>
      </right>
      <top style="medium">
        <color rgb="FF8393BE"/>
      </top>
      <bottom style="thin">
        <color theme="0" tint="-0.499984740745262"/>
      </bottom>
      <diagonal/>
    </border>
    <border>
      <left/>
      <right style="thin">
        <color theme="0" tint="-0.499984740745262"/>
      </right>
      <top/>
      <bottom style="medium">
        <color rgb="FF617494"/>
      </bottom>
      <diagonal/>
    </border>
    <border>
      <left style="thin">
        <color theme="0" tint="-0.499984740745262"/>
      </left>
      <right style="thin">
        <color theme="0" tint="-0.499984740745262"/>
      </right>
      <top style="thin">
        <color theme="0" tint="-0.499984740745262"/>
      </top>
      <bottom style="medium">
        <color rgb="FF617494"/>
      </bottom>
      <diagonal/>
    </border>
    <border>
      <left style="thin">
        <color theme="0" tint="-0.499984740745262"/>
      </left>
      <right/>
      <top style="thin">
        <color theme="0" tint="-0.499984740745262"/>
      </top>
      <bottom style="medium">
        <color rgb="FF617494"/>
      </bottom>
      <diagonal/>
    </border>
    <border>
      <left/>
      <right/>
      <top style="thin">
        <color theme="0" tint="-0.499984740745262"/>
      </top>
      <bottom style="medium">
        <color rgb="FF617494"/>
      </bottom>
      <diagonal/>
    </border>
    <border>
      <left/>
      <right style="thin">
        <color theme="0" tint="-0.499984740745262"/>
      </right>
      <top style="thin">
        <color theme="0" tint="-0.499984740745262"/>
      </top>
      <bottom style="medium">
        <color rgb="FF617494"/>
      </bottom>
      <diagonal/>
    </border>
    <border>
      <left style="thin">
        <color theme="0" tint="-0.499984740745262"/>
      </left>
      <right style="thin">
        <color theme="0" tint="-0.499984740745262"/>
      </right>
      <top style="medium">
        <color rgb="FF617494"/>
      </top>
      <bottom style="thin">
        <color theme="0" tint="-0.499984740745262"/>
      </bottom>
      <diagonal/>
    </border>
    <border>
      <left style="thin">
        <color theme="0" tint="-0.499984740745262"/>
      </left>
      <right/>
      <top style="medium">
        <color rgb="FF617494"/>
      </top>
      <bottom style="thin">
        <color theme="0" tint="-0.499984740745262"/>
      </bottom>
      <diagonal/>
    </border>
    <border>
      <left/>
      <right/>
      <top style="medium">
        <color rgb="FF617494"/>
      </top>
      <bottom style="thin">
        <color theme="0" tint="-0.499984740745262"/>
      </bottom>
      <diagonal/>
    </border>
    <border>
      <left/>
      <right style="thin">
        <color theme="0" tint="-0.499984740745262"/>
      </right>
      <top style="medium">
        <color rgb="FF617494"/>
      </top>
      <bottom style="thin">
        <color theme="0" tint="-0.499984740745262"/>
      </bottom>
      <diagonal/>
    </border>
    <border>
      <left style="thin">
        <color theme="0" tint="-0.499984740745262"/>
      </left>
      <right style="medium">
        <color rgb="FF617494"/>
      </right>
      <top style="medium">
        <color rgb="FF617494"/>
      </top>
      <bottom style="thin">
        <color theme="0" tint="-0.499984740745262"/>
      </bottom>
      <diagonal/>
    </border>
    <border>
      <left style="thin">
        <color theme="0" tint="-0.499984740745262"/>
      </left>
      <right style="medium">
        <color rgb="FF617494"/>
      </right>
      <top style="thin">
        <color theme="0" tint="-0.499984740745262"/>
      </top>
      <bottom style="medium">
        <color rgb="FF617494"/>
      </bottom>
      <diagonal/>
    </border>
    <border>
      <left/>
      <right/>
      <top/>
      <bottom style="medium">
        <color rgb="FFAD86B0"/>
      </bottom>
      <diagonal/>
    </border>
    <border>
      <left style="thin">
        <color theme="0" tint="-0.499984740745262"/>
      </left>
      <right style="thin">
        <color theme="0" tint="-0.499984740745262"/>
      </right>
      <top style="thin">
        <color theme="0" tint="-0.499984740745262"/>
      </top>
      <bottom style="medium">
        <color rgb="FFAD86B0"/>
      </bottom>
      <diagonal/>
    </border>
    <border>
      <left style="thin">
        <color theme="0" tint="-0.499984740745262"/>
      </left>
      <right/>
      <top style="thin">
        <color theme="0" tint="-0.499984740745262"/>
      </top>
      <bottom style="medium">
        <color rgb="FFAD86B0"/>
      </bottom>
      <diagonal/>
    </border>
    <border>
      <left/>
      <right/>
      <top style="thin">
        <color theme="0" tint="-0.499984740745262"/>
      </top>
      <bottom style="medium">
        <color rgb="FFAD86B0"/>
      </bottom>
      <diagonal/>
    </border>
    <border>
      <left/>
      <right style="thin">
        <color theme="0" tint="-0.499984740745262"/>
      </right>
      <top style="thin">
        <color theme="0" tint="-0.499984740745262"/>
      </top>
      <bottom style="medium">
        <color rgb="FFAD86B0"/>
      </bottom>
      <diagonal/>
    </border>
    <border>
      <left/>
      <right style="thin">
        <color theme="0" tint="-0.499984740745262"/>
      </right>
      <top style="medium">
        <color rgb="FFAD86B0"/>
      </top>
      <bottom/>
      <diagonal/>
    </border>
    <border>
      <left/>
      <right/>
      <top style="medium">
        <color rgb="FFAD86B0"/>
      </top>
      <bottom/>
      <diagonal/>
    </border>
    <border>
      <left style="thin">
        <color theme="0" tint="-0.499984740745262"/>
      </left>
      <right style="thin">
        <color theme="0" tint="-0.499984740745262"/>
      </right>
      <top style="medium">
        <color rgb="FFAD86B0"/>
      </top>
      <bottom style="thin">
        <color theme="0" tint="-0.499984740745262"/>
      </bottom>
      <diagonal/>
    </border>
    <border>
      <left style="thin">
        <color theme="0" tint="-0.499984740745262"/>
      </left>
      <right style="medium">
        <color rgb="FFAD86B0"/>
      </right>
      <top style="medium">
        <color rgb="FFAD86B0"/>
      </top>
      <bottom style="thin">
        <color theme="0" tint="-0.499984740745262"/>
      </bottom>
      <diagonal/>
    </border>
    <border>
      <left style="thin">
        <color theme="0" tint="-0.499984740745262"/>
      </left>
      <right style="medium">
        <color rgb="FFAD86B0"/>
      </right>
      <top style="thin">
        <color theme="0" tint="-0.499984740745262"/>
      </top>
      <bottom style="thin">
        <color theme="0" tint="-0.499984740745262"/>
      </bottom>
      <diagonal/>
    </border>
    <border>
      <left style="thin">
        <color theme="0" tint="-0.499984740745262"/>
      </left>
      <right style="medium">
        <color rgb="FFAD86B0"/>
      </right>
      <top style="thin">
        <color theme="0" tint="-0.499984740745262"/>
      </top>
      <bottom style="medium">
        <color rgb="FFAD86B0"/>
      </bottom>
      <diagonal/>
    </border>
    <border>
      <left/>
      <right style="thin">
        <color theme="0" tint="-0.499984740745262"/>
      </right>
      <top style="medium">
        <color rgb="FF617494"/>
      </top>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style="medium">
        <color theme="0"/>
      </right>
      <top/>
      <bottom/>
      <diagonal/>
    </border>
    <border>
      <left/>
      <right style="thin">
        <color theme="0" tint="-0.499984740745262"/>
      </right>
      <top style="medium">
        <color rgb="FF8393BE"/>
      </top>
      <bottom style="medium">
        <color rgb="FF8393BE"/>
      </bottom>
      <diagonal/>
    </border>
    <border>
      <left style="thin">
        <color theme="0" tint="-0.499984740745262"/>
      </left>
      <right style="thin">
        <color theme="0" tint="-0.499984740745262"/>
      </right>
      <top style="medium">
        <color rgb="FF8393BE"/>
      </top>
      <bottom style="medium">
        <color rgb="FF8393BE"/>
      </bottom>
      <diagonal/>
    </border>
    <border>
      <left style="thin">
        <color theme="0" tint="-0.499984740745262"/>
      </left>
      <right style="medium">
        <color rgb="FF8393BE"/>
      </right>
      <top style="medium">
        <color rgb="FF8393BE"/>
      </top>
      <bottom style="medium">
        <color rgb="FF8393BE"/>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bottom/>
      <diagonal/>
    </border>
    <border>
      <left style="thin">
        <color theme="0" tint="-0.499984740745262"/>
      </left>
      <right style="medium">
        <color rgb="FF61749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right style="thin">
        <color theme="0" tint="-0.499984740745262"/>
      </right>
      <top/>
      <bottom style="thin">
        <color theme="1"/>
      </bottom>
      <diagonal/>
    </border>
    <border>
      <left style="thin">
        <color theme="0" tint="-0.499984740745262"/>
      </left>
      <right style="thin">
        <color theme="0" tint="-0.499984740745262"/>
      </right>
      <top/>
      <bottom style="thin">
        <color theme="1"/>
      </bottom>
      <diagonal/>
    </border>
    <border>
      <left style="thin">
        <color theme="0" tint="-0.499984740745262"/>
      </left>
      <right style="thin">
        <color theme="1"/>
      </right>
      <top/>
      <bottom style="thin">
        <color theme="1"/>
      </bottom>
      <diagonal/>
    </border>
  </borders>
  <cellStyleXfs count="6">
    <xf numFmtId="0" fontId="0" fillId="0" borderId="0"/>
    <xf numFmtId="0" fontId="7" fillId="0" borderId="0">
      <alignment horizontal="left" vertical="center"/>
    </xf>
    <xf numFmtId="9" fontId="11" fillId="0" borderId="0" applyFont="0" applyFill="0" applyBorder="0" applyAlignment="0" applyProtection="0"/>
    <xf numFmtId="0" fontId="15" fillId="0" borderId="0" applyNumberFormat="0" applyFill="0" applyBorder="0" applyAlignment="0" applyProtection="0"/>
    <xf numFmtId="3" fontId="16" fillId="0" borderId="0">
      <alignment vertical="center"/>
    </xf>
    <xf numFmtId="0" fontId="18" fillId="0" borderId="0" applyNumberFormat="0" applyFill="0" applyBorder="0" applyAlignment="0" applyProtection="0">
      <alignment vertical="top"/>
      <protection locked="0"/>
    </xf>
  </cellStyleXfs>
  <cellXfs count="204">
    <xf numFmtId="0" fontId="0" fillId="0" borderId="0" xfId="0"/>
    <xf numFmtId="0" fontId="0" fillId="2" borderId="0" xfId="0" applyFill="1"/>
    <xf numFmtId="0" fontId="0" fillId="0" borderId="0" xfId="0" applyAlignment="1">
      <alignment wrapText="1"/>
    </xf>
    <xf numFmtId="0" fontId="3" fillId="2" borderId="0" xfId="0" applyFont="1" applyFill="1" applyAlignment="1">
      <alignment horizontal="center" vertical="center" textRotation="90" wrapText="1"/>
    </xf>
    <xf numFmtId="0" fontId="5" fillId="2" borderId="0" xfId="0" applyFont="1" applyFill="1" applyAlignment="1">
      <alignment horizontal="center" vertical="center"/>
    </xf>
    <xf numFmtId="0" fontId="0" fillId="2" borderId="0" xfId="0" applyFill="1" applyAlignment="1">
      <alignment horizontal="left"/>
    </xf>
    <xf numFmtId="0" fontId="4" fillId="4" borderId="52" xfId="0" applyFont="1" applyFill="1" applyBorder="1"/>
    <xf numFmtId="0" fontId="3" fillId="11" borderId="10" xfId="0" applyFont="1" applyFill="1" applyBorder="1" applyAlignment="1">
      <alignment vertical="center"/>
    </xf>
    <xf numFmtId="9" fontId="0" fillId="2" borderId="0" xfId="0" applyNumberFormat="1" applyFill="1"/>
    <xf numFmtId="0" fontId="6" fillId="2" borderId="0" xfId="0" applyFont="1" applyFill="1" applyAlignment="1">
      <alignment horizontal="center" vertical="center" wrapText="1"/>
    </xf>
    <xf numFmtId="0" fontId="4" fillId="2" borderId="0" xfId="0" applyFont="1" applyFill="1" applyAlignment="1">
      <alignment horizontal="left"/>
    </xf>
    <xf numFmtId="0" fontId="4" fillId="2" borderId="0" xfId="0" applyFont="1" applyFill="1"/>
    <xf numFmtId="0" fontId="10" fillId="2" borderId="0" xfId="0" applyFont="1" applyFill="1" applyAlignment="1">
      <alignment vertical="center"/>
    </xf>
    <xf numFmtId="0" fontId="0" fillId="14" borderId="0" xfId="0" applyFill="1"/>
    <xf numFmtId="0" fontId="4" fillId="4" borderId="0" xfId="0" applyFont="1" applyFill="1" applyAlignment="1">
      <alignment horizontal="left" vertical="center" wrapText="1"/>
    </xf>
    <xf numFmtId="0" fontId="0" fillId="2" borderId="0" xfId="0" applyFill="1" applyAlignment="1">
      <alignment vertical="center"/>
    </xf>
    <xf numFmtId="0" fontId="0" fillId="2" borderId="0" xfId="0" applyFill="1" applyAlignment="1">
      <alignment horizontal="left" vertical="center"/>
    </xf>
    <xf numFmtId="0" fontId="4" fillId="4" borderId="20" xfId="0" applyFont="1" applyFill="1" applyBorder="1" applyAlignment="1">
      <alignment vertical="center"/>
    </xf>
    <xf numFmtId="0" fontId="4" fillId="4" borderId="19" xfId="0" applyFont="1" applyFill="1" applyBorder="1" applyAlignment="1">
      <alignment vertical="center"/>
    </xf>
    <xf numFmtId="167" fontId="0" fillId="5" borderId="2" xfId="0" applyNumberFormat="1" applyFill="1" applyBorder="1" applyAlignment="1">
      <alignment vertical="center"/>
    </xf>
    <xf numFmtId="166" fontId="0" fillId="5" borderId="2" xfId="0" applyNumberFormat="1" applyFill="1" applyBorder="1" applyAlignment="1">
      <alignment vertical="center"/>
    </xf>
    <xf numFmtId="0" fontId="4" fillId="4" borderId="18" xfId="0" applyFont="1" applyFill="1" applyBorder="1" applyAlignment="1">
      <alignment vertical="center"/>
    </xf>
    <xf numFmtId="0" fontId="4" fillId="4" borderId="17" xfId="0" applyFont="1" applyFill="1" applyBorder="1" applyAlignment="1">
      <alignment vertical="center"/>
    </xf>
    <xf numFmtId="0" fontId="4" fillId="4" borderId="58" xfId="0" applyFont="1" applyFill="1" applyBorder="1" applyAlignment="1">
      <alignment vertical="center"/>
    </xf>
    <xf numFmtId="0" fontId="4" fillId="4" borderId="28" xfId="0" applyFont="1" applyFill="1" applyBorder="1" applyAlignment="1">
      <alignment vertical="center"/>
    </xf>
    <xf numFmtId="0" fontId="4" fillId="4" borderId="27" xfId="0" applyFont="1" applyFill="1" applyBorder="1" applyAlignment="1">
      <alignment vertical="center"/>
    </xf>
    <xf numFmtId="2" fontId="0" fillId="5" borderId="2" xfId="0" applyNumberFormat="1" applyFill="1" applyBorder="1" applyAlignment="1">
      <alignment vertical="center"/>
    </xf>
    <xf numFmtId="2" fontId="0" fillId="5" borderId="22" xfId="0" applyNumberFormat="1" applyFill="1" applyBorder="1" applyAlignment="1">
      <alignment vertical="center"/>
    </xf>
    <xf numFmtId="0" fontId="4" fillId="4" borderId="26" xfId="0" applyFont="1" applyFill="1" applyBorder="1" applyAlignment="1">
      <alignment vertical="center"/>
    </xf>
    <xf numFmtId="2" fontId="0" fillId="2" borderId="0" xfId="0" applyNumberFormat="1" applyFill="1" applyAlignment="1">
      <alignment vertical="center"/>
    </xf>
    <xf numFmtId="2" fontId="0" fillId="5" borderId="34" xfId="0" quotePrefix="1" applyNumberFormat="1" applyFill="1" applyBorder="1" applyAlignment="1">
      <alignment vertical="center"/>
    </xf>
    <xf numFmtId="0" fontId="4" fillId="4" borderId="38" xfId="0" applyFont="1" applyFill="1" applyBorder="1" applyAlignment="1">
      <alignment vertical="center"/>
    </xf>
    <xf numFmtId="2" fontId="0" fillId="5" borderId="30" xfId="0" applyNumberFormat="1" applyFill="1" applyBorder="1" applyAlignment="1">
      <alignment vertical="center"/>
    </xf>
    <xf numFmtId="0" fontId="4" fillId="4" borderId="39" xfId="0" applyFont="1" applyFill="1" applyBorder="1" applyAlignment="1">
      <alignment vertical="center"/>
    </xf>
    <xf numFmtId="2" fontId="0" fillId="5" borderId="47" xfId="0" quotePrefix="1" applyNumberFormat="1" applyFill="1" applyBorder="1" applyAlignment="1">
      <alignment vertical="center"/>
    </xf>
    <xf numFmtId="0" fontId="4" fillId="4" borderId="48" xfId="0" applyFont="1" applyFill="1" applyBorder="1" applyAlignment="1">
      <alignment vertical="center"/>
    </xf>
    <xf numFmtId="0" fontId="4" fillId="4" borderId="49" xfId="0" applyFont="1" applyFill="1" applyBorder="1" applyAlignment="1">
      <alignment vertical="center"/>
    </xf>
    <xf numFmtId="2" fontId="0" fillId="5" borderId="41" xfId="0" applyNumberFormat="1" applyFill="1" applyBorder="1" applyAlignment="1">
      <alignment vertical="center"/>
    </xf>
    <xf numFmtId="0" fontId="4" fillId="4" borderId="50" xfId="0" applyFont="1" applyFill="1" applyBorder="1" applyAlignment="1">
      <alignment vertical="center"/>
    </xf>
    <xf numFmtId="0" fontId="4" fillId="4" borderId="3" xfId="0" applyFont="1" applyFill="1" applyBorder="1" applyAlignment="1">
      <alignment horizontal="left" vertical="center"/>
    </xf>
    <xf numFmtId="2" fontId="0" fillId="5" borderId="17" xfId="0" quotePrefix="1" applyNumberFormat="1" applyFill="1" applyBorder="1" applyAlignment="1">
      <alignment vertical="center"/>
    </xf>
    <xf numFmtId="0" fontId="4" fillId="4" borderId="62" xfId="0" applyFont="1" applyFill="1" applyBorder="1" applyAlignment="1">
      <alignment vertical="center"/>
    </xf>
    <xf numFmtId="0" fontId="4" fillId="4" borderId="61" xfId="0" applyFont="1" applyFill="1" applyBorder="1" applyAlignment="1">
      <alignment vertical="center"/>
    </xf>
    <xf numFmtId="2" fontId="0" fillId="2" borderId="0" xfId="0" applyNumberFormat="1" applyFill="1"/>
    <xf numFmtId="3" fontId="16" fillId="13" borderId="63" xfId="4" applyFill="1" applyBorder="1">
      <alignment vertical="center"/>
    </xf>
    <xf numFmtId="3" fontId="16" fillId="13" borderId="64" xfId="4" applyFill="1" applyBorder="1">
      <alignment vertical="center"/>
    </xf>
    <xf numFmtId="3" fontId="16" fillId="13" borderId="65" xfId="4" applyFill="1" applyBorder="1">
      <alignment vertical="center"/>
    </xf>
    <xf numFmtId="0" fontId="0" fillId="3" borderId="13" xfId="0" applyFill="1" applyBorder="1" applyAlignment="1" applyProtection="1">
      <alignment vertical="center"/>
      <protection locked="0"/>
    </xf>
    <xf numFmtId="0" fontId="0" fillId="3" borderId="2" xfId="0" applyFill="1" applyBorder="1" applyAlignment="1" applyProtection="1">
      <alignment vertical="center"/>
      <protection locked="0"/>
    </xf>
    <xf numFmtId="166" fontId="0" fillId="3" borderId="2" xfId="0" applyNumberFormat="1" applyFill="1" applyBorder="1" applyAlignment="1" applyProtection="1">
      <alignment vertical="center"/>
      <protection locked="0"/>
    </xf>
    <xf numFmtId="0" fontId="0" fillId="3" borderId="16" xfId="0" applyFill="1" applyBorder="1" applyAlignment="1" applyProtection="1">
      <alignment vertical="center"/>
      <protection locked="0"/>
    </xf>
    <xf numFmtId="0" fontId="0" fillId="3" borderId="17" xfId="0" applyFill="1" applyBorder="1" applyAlignment="1" applyProtection="1">
      <alignment vertical="center"/>
      <protection locked="0"/>
    </xf>
    <xf numFmtId="2" fontId="0" fillId="3" borderId="2" xfId="0" applyNumberFormat="1" applyFill="1" applyBorder="1" applyAlignment="1" applyProtection="1">
      <alignment vertical="center"/>
      <protection locked="0"/>
    </xf>
    <xf numFmtId="2" fontId="0" fillId="3" borderId="57" xfId="0" applyNumberFormat="1" applyFill="1" applyBorder="1" applyAlignment="1" applyProtection="1">
      <alignment vertical="center"/>
      <protection locked="0"/>
    </xf>
    <xf numFmtId="2" fontId="0" fillId="3" borderId="7" xfId="0" applyNumberFormat="1" applyFill="1" applyBorder="1" applyAlignment="1" applyProtection="1">
      <alignment vertical="center"/>
      <protection locked="0"/>
    </xf>
    <xf numFmtId="1" fontId="0" fillId="3" borderId="2" xfId="0" applyNumberFormat="1" applyFill="1" applyBorder="1" applyAlignment="1" applyProtection="1">
      <alignment vertical="center"/>
      <protection locked="0"/>
    </xf>
    <xf numFmtId="0" fontId="0" fillId="2" borderId="0" xfId="0" quotePrefix="1" applyFill="1"/>
    <xf numFmtId="9" fontId="2" fillId="2" borderId="0" xfId="2" applyFont="1" applyFill="1" applyAlignment="1"/>
    <xf numFmtId="0" fontId="0" fillId="2" borderId="0" xfId="0" applyFill="1" applyAlignment="1">
      <alignment wrapText="1"/>
    </xf>
    <xf numFmtId="0" fontId="0" fillId="2" borderId="0" xfId="0" applyFill="1" applyAlignment="1">
      <alignment horizontal="left" wrapText="1"/>
    </xf>
    <xf numFmtId="165" fontId="0" fillId="2" borderId="0" xfId="0" applyNumberFormat="1" applyFill="1"/>
    <xf numFmtId="0" fontId="14" fillId="2" borderId="0" xfId="0" applyFont="1" applyFill="1"/>
    <xf numFmtId="0" fontId="4" fillId="2" borderId="0" xfId="0" quotePrefix="1" applyFont="1" applyFill="1"/>
    <xf numFmtId="0" fontId="0" fillId="2" borderId="0" xfId="0" applyFill="1" applyAlignment="1">
      <alignment vertical="center" textRotation="90"/>
    </xf>
    <xf numFmtId="0" fontId="0" fillId="2" borderId="55" xfId="0" applyFill="1" applyBorder="1"/>
    <xf numFmtId="0" fontId="3" fillId="6" borderId="72" xfId="0" quotePrefix="1" applyFont="1" applyFill="1" applyBorder="1" applyAlignment="1">
      <alignment horizontal="center"/>
    </xf>
    <xf numFmtId="0" fontId="3" fillId="11" borderId="73" xfId="0" quotePrefix="1" applyFont="1" applyFill="1" applyBorder="1" applyAlignment="1">
      <alignment horizontal="center"/>
    </xf>
    <xf numFmtId="0" fontId="3" fillId="6" borderId="73" xfId="0" quotePrefix="1" applyFont="1" applyFill="1" applyBorder="1" applyAlignment="1">
      <alignment horizontal="center"/>
    </xf>
    <xf numFmtId="0" fontId="3" fillId="11" borderId="71" xfId="0" quotePrefix="1" applyFont="1" applyFill="1" applyBorder="1" applyAlignment="1">
      <alignment horizontal="center"/>
    </xf>
    <xf numFmtId="0" fontId="0" fillId="5" borderId="70" xfId="0" applyFill="1" applyBorder="1"/>
    <xf numFmtId="0" fontId="4" fillId="4" borderId="70" xfId="0" applyFont="1" applyFill="1" applyBorder="1"/>
    <xf numFmtId="2" fontId="0" fillId="5" borderId="70" xfId="0" applyNumberFormat="1" applyFill="1" applyBorder="1"/>
    <xf numFmtId="0" fontId="0" fillId="3" borderId="70" xfId="0" applyFill="1" applyBorder="1" applyProtection="1">
      <protection locked="0"/>
    </xf>
    <xf numFmtId="0" fontId="4" fillId="4" borderId="70" xfId="0" quotePrefix="1" applyFont="1" applyFill="1" applyBorder="1"/>
    <xf numFmtId="165" fontId="0" fillId="5" borderId="70" xfId="0" applyNumberFormat="1" applyFill="1" applyBorder="1"/>
    <xf numFmtId="165" fontId="0" fillId="5" borderId="70" xfId="0" quotePrefix="1" applyNumberFormat="1" applyFill="1" applyBorder="1"/>
    <xf numFmtId="0" fontId="4" fillId="6" borderId="70" xfId="0" applyFont="1" applyFill="1" applyBorder="1" applyAlignment="1">
      <alignment horizontal="center" vertical="center"/>
    </xf>
    <xf numFmtId="0" fontId="4" fillId="11" borderId="70" xfId="0" applyFont="1" applyFill="1" applyBorder="1" applyAlignment="1">
      <alignment horizontal="center" vertical="center"/>
    </xf>
    <xf numFmtId="164" fontId="0" fillId="5" borderId="77" xfId="0" quotePrefix="1" applyNumberFormat="1" applyFill="1" applyBorder="1"/>
    <xf numFmtId="164" fontId="0" fillId="5" borderId="77" xfId="0" applyNumberFormat="1" applyFill="1" applyBorder="1"/>
    <xf numFmtId="0" fontId="6" fillId="11" borderId="70" xfId="0" applyFont="1" applyFill="1" applyBorder="1" applyAlignment="1">
      <alignment horizontal="center" vertical="center" wrapText="1"/>
    </xf>
    <xf numFmtId="0" fontId="0" fillId="11" borderId="70" xfId="0" applyFill="1" applyBorder="1" applyAlignment="1">
      <alignment horizontal="center" vertical="center" wrapText="1"/>
    </xf>
    <xf numFmtId="0" fontId="0" fillId="8" borderId="70" xfId="0" applyFill="1" applyBorder="1" applyAlignment="1">
      <alignment horizontal="center" vertical="center" wrapText="1"/>
    </xf>
    <xf numFmtId="2" fontId="0" fillId="7" borderId="70" xfId="0" applyNumberFormat="1" applyFill="1" applyBorder="1"/>
    <xf numFmtId="2" fontId="0" fillId="7" borderId="70" xfId="0" quotePrefix="1" applyNumberFormat="1" applyFill="1" applyBorder="1"/>
    <xf numFmtId="2" fontId="0" fillId="5" borderId="70" xfId="0" quotePrefix="1" applyNumberFormat="1" applyFill="1" applyBorder="1"/>
    <xf numFmtId="0" fontId="0" fillId="5" borderId="70" xfId="0" applyFill="1" applyBorder="1" applyAlignment="1">
      <alignment wrapText="1"/>
    </xf>
    <xf numFmtId="0" fontId="0" fillId="6" borderId="71" xfId="0" applyFill="1" applyBorder="1" applyAlignment="1">
      <alignment wrapText="1"/>
    </xf>
    <xf numFmtId="0" fontId="0" fillId="8" borderId="71" xfId="0" applyFill="1" applyBorder="1" applyAlignment="1">
      <alignment wrapText="1"/>
    </xf>
    <xf numFmtId="0" fontId="3" fillId="11" borderId="77" xfId="0" applyFont="1" applyFill="1" applyBorder="1" applyAlignment="1">
      <alignment horizontal="center" vertical="center"/>
    </xf>
    <xf numFmtId="0" fontId="3" fillId="9" borderId="77" xfId="0" applyFont="1" applyFill="1" applyBorder="1" applyAlignment="1">
      <alignment horizontal="center" vertical="center"/>
    </xf>
    <xf numFmtId="0" fontId="3" fillId="9" borderId="77" xfId="0" applyFont="1" applyFill="1" applyBorder="1" applyAlignment="1">
      <alignment horizontal="center" vertical="center" wrapText="1"/>
    </xf>
    <xf numFmtId="0" fontId="0" fillId="13" borderId="77" xfId="0" applyFill="1" applyBorder="1" applyAlignment="1">
      <alignment wrapText="1"/>
    </xf>
    <xf numFmtId="2" fontId="10" fillId="5" borderId="83" xfId="0" applyNumberFormat="1" applyFont="1" applyFill="1" applyBorder="1" applyAlignment="1">
      <alignment horizontal="center" vertical="center"/>
    </xf>
    <xf numFmtId="0" fontId="10" fillId="9" borderId="84" xfId="0" applyFont="1" applyFill="1" applyBorder="1" applyAlignment="1">
      <alignment horizontal="center" vertical="center"/>
    </xf>
    <xf numFmtId="0" fontId="8" fillId="2" borderId="63" xfId="0" applyFont="1" applyFill="1" applyBorder="1" applyAlignment="1">
      <alignment vertical="center"/>
    </xf>
    <xf numFmtId="0" fontId="9" fillId="2" borderId="64" xfId="0" applyFont="1" applyFill="1" applyBorder="1" applyAlignment="1">
      <alignment vertical="center"/>
    </xf>
    <xf numFmtId="0" fontId="9" fillId="2" borderId="65" xfId="0" applyFont="1" applyFill="1" applyBorder="1" applyAlignment="1">
      <alignment vertical="center"/>
    </xf>
    <xf numFmtId="0" fontId="9" fillId="2" borderId="1" xfId="0" applyFont="1" applyFill="1" applyBorder="1" applyAlignment="1">
      <alignment vertical="center"/>
    </xf>
    <xf numFmtId="0" fontId="9" fillId="2" borderId="0" xfId="0" applyFont="1" applyFill="1" applyAlignment="1">
      <alignment vertical="center"/>
    </xf>
    <xf numFmtId="0" fontId="9" fillId="2" borderId="66" xfId="0" applyFont="1" applyFill="1" applyBorder="1" applyAlignment="1">
      <alignment vertical="center"/>
    </xf>
    <xf numFmtId="0" fontId="5" fillId="2" borderId="1" xfId="0" applyFont="1" applyFill="1" applyBorder="1" applyAlignment="1">
      <alignment horizontal="center" vertical="center"/>
    </xf>
    <xf numFmtId="0" fontId="5" fillId="2" borderId="66" xfId="0" applyFont="1" applyFill="1" applyBorder="1" applyAlignment="1">
      <alignment horizontal="center" vertical="center"/>
    </xf>
    <xf numFmtId="0" fontId="5" fillId="2" borderId="67" xfId="0" applyFont="1" applyFill="1" applyBorder="1" applyAlignment="1">
      <alignment horizontal="center" vertical="center"/>
    </xf>
    <xf numFmtId="0" fontId="5" fillId="2" borderId="68" xfId="0" applyFont="1" applyFill="1" applyBorder="1" applyAlignment="1">
      <alignment horizontal="center" vertical="center"/>
    </xf>
    <xf numFmtId="0" fontId="5" fillId="2" borderId="69" xfId="0" applyFont="1" applyFill="1" applyBorder="1" applyAlignment="1">
      <alignment horizontal="center" vertical="center"/>
    </xf>
    <xf numFmtId="0" fontId="0" fillId="3" borderId="52" xfId="0" applyFill="1" applyBorder="1" applyProtection="1">
      <protection locked="0"/>
    </xf>
    <xf numFmtId="0" fontId="1" fillId="2" borderId="0" xfId="0" applyFont="1" applyFill="1"/>
    <xf numFmtId="0" fontId="0" fillId="13" borderId="63" xfId="0" applyFill="1" applyBorder="1"/>
    <xf numFmtId="0" fontId="0" fillId="13" borderId="64" xfId="0" applyFill="1" applyBorder="1"/>
    <xf numFmtId="0" fontId="0" fillId="13" borderId="65" xfId="0" applyFill="1" applyBorder="1" applyAlignment="1">
      <alignment wrapText="1"/>
    </xf>
    <xf numFmtId="0" fontId="0" fillId="13" borderId="0" xfId="0" applyFill="1"/>
    <xf numFmtId="0" fontId="0" fillId="13" borderId="66" xfId="0" applyFill="1" applyBorder="1" applyAlignment="1">
      <alignment wrapText="1"/>
    </xf>
    <xf numFmtId="0" fontId="0" fillId="13" borderId="67" xfId="0" applyFill="1" applyBorder="1"/>
    <xf numFmtId="0" fontId="0" fillId="13" borderId="68" xfId="0" applyFill="1" applyBorder="1"/>
    <xf numFmtId="0" fontId="15" fillId="13" borderId="69" xfId="3" applyFill="1" applyBorder="1" applyAlignment="1">
      <alignment wrapText="1"/>
    </xf>
    <xf numFmtId="0" fontId="1" fillId="13" borderId="1" xfId="0" applyFont="1" applyFill="1" applyBorder="1" applyAlignment="1">
      <alignment horizontal="left"/>
    </xf>
    <xf numFmtId="3" fontId="17" fillId="14" borderId="1" xfId="4" applyFont="1" applyFill="1" applyBorder="1" applyAlignment="1">
      <alignment horizontal="left" vertical="center" indent="1"/>
    </xf>
    <xf numFmtId="3" fontId="16" fillId="14" borderId="0" xfId="4" applyFill="1">
      <alignment vertical="center"/>
    </xf>
    <xf numFmtId="3" fontId="16" fillId="14" borderId="66" xfId="4" applyFill="1" applyBorder="1">
      <alignment vertical="center"/>
    </xf>
    <xf numFmtId="3" fontId="16" fillId="14" borderId="1" xfId="4" applyFill="1" applyBorder="1" applyAlignment="1">
      <alignment horizontal="left" vertical="center" indent="1"/>
    </xf>
    <xf numFmtId="3" fontId="16" fillId="14" borderId="0" xfId="4" applyFill="1" applyAlignment="1">
      <alignment horizontal="center" vertical="center"/>
    </xf>
    <xf numFmtId="3" fontId="18" fillId="14" borderId="0" xfId="5" applyNumberFormat="1" applyFill="1" applyBorder="1" applyAlignment="1" applyProtection="1">
      <alignment vertical="center"/>
    </xf>
    <xf numFmtId="3" fontId="15" fillId="14" borderId="0" xfId="3" applyNumberFormat="1" applyFill="1" applyBorder="1" applyAlignment="1" applyProtection="1">
      <alignment vertical="center"/>
    </xf>
    <xf numFmtId="14" fontId="7" fillId="14" borderId="0" xfId="4" quotePrefix="1" applyNumberFormat="1" applyFont="1" applyFill="1" applyAlignment="1">
      <alignment horizontal="left" vertical="center"/>
    </xf>
    <xf numFmtId="49" fontId="16" fillId="14" borderId="0" xfId="4" quotePrefix="1" applyNumberFormat="1" applyFill="1">
      <alignment vertical="center"/>
    </xf>
    <xf numFmtId="3" fontId="22" fillId="14" borderId="0" xfId="4" applyFont="1" applyFill="1">
      <alignment vertical="center"/>
    </xf>
    <xf numFmtId="3" fontId="20" fillId="14" borderId="0" xfId="4" applyFont="1" applyFill="1">
      <alignment vertical="center"/>
    </xf>
    <xf numFmtId="14" fontId="16" fillId="14" borderId="0" xfId="4" applyNumberFormat="1" applyFill="1">
      <alignment vertical="center"/>
    </xf>
    <xf numFmtId="3" fontId="16" fillId="14" borderId="67" xfId="4" applyFill="1" applyBorder="1" applyAlignment="1">
      <alignment horizontal="left" vertical="center" indent="1"/>
    </xf>
    <xf numFmtId="3" fontId="16" fillId="14" borderId="68" xfId="4" applyFill="1" applyBorder="1">
      <alignment vertical="center"/>
    </xf>
    <xf numFmtId="3" fontId="16" fillId="14" borderId="69" xfId="4" applyFill="1" applyBorder="1">
      <alignment vertical="center"/>
    </xf>
    <xf numFmtId="0" fontId="4" fillId="4" borderId="0" xfId="0" applyFont="1" applyFill="1" applyAlignment="1">
      <alignment horizontal="left" vertical="center" wrapText="1"/>
    </xf>
    <xf numFmtId="0" fontId="4" fillId="4" borderId="10"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4" borderId="53" xfId="0" applyFont="1" applyFill="1" applyBorder="1" applyAlignment="1">
      <alignment horizontal="center"/>
    </xf>
    <xf numFmtId="0" fontId="4" fillId="4" borderId="54" xfId="0" applyFont="1" applyFill="1" applyBorder="1" applyAlignment="1">
      <alignment horizontal="center"/>
    </xf>
    <xf numFmtId="0" fontId="4" fillId="4" borderId="0" xfId="0" applyFont="1" applyFill="1" applyAlignment="1">
      <alignment horizontal="left" vertical="center"/>
    </xf>
    <xf numFmtId="0" fontId="4" fillId="4" borderId="42" xfId="0" applyFont="1" applyFill="1" applyBorder="1" applyAlignment="1">
      <alignment horizontal="left" vertical="center"/>
    </xf>
    <xf numFmtId="0" fontId="4" fillId="4" borderId="43" xfId="0" applyFont="1" applyFill="1" applyBorder="1" applyAlignment="1">
      <alignment horizontal="left" vertical="center"/>
    </xf>
    <xf numFmtId="0" fontId="4" fillId="4" borderId="44" xfId="0" applyFont="1" applyFill="1" applyBorder="1" applyAlignment="1">
      <alignment horizontal="left" vertical="center"/>
    </xf>
    <xf numFmtId="0" fontId="3" fillId="4" borderId="23" xfId="0" applyFont="1" applyFill="1" applyBorder="1" applyAlignment="1">
      <alignment horizontal="left" vertical="center" wrapText="1"/>
    </xf>
    <xf numFmtId="0" fontId="3" fillId="4" borderId="24" xfId="0" applyFont="1" applyFill="1" applyBorder="1" applyAlignment="1">
      <alignment horizontal="left" vertical="center" wrapText="1"/>
    </xf>
    <xf numFmtId="0" fontId="3" fillId="4" borderId="25" xfId="0" applyFont="1" applyFill="1" applyBorder="1" applyAlignment="1">
      <alignment horizontal="left" vertical="center" wrapText="1"/>
    </xf>
    <xf numFmtId="0" fontId="4" fillId="4" borderId="35" xfId="0" applyFont="1" applyFill="1" applyBorder="1" applyAlignment="1">
      <alignment horizontal="left" vertical="center"/>
    </xf>
    <xf numFmtId="0" fontId="4" fillId="4" borderId="36" xfId="0" applyFont="1" applyFill="1" applyBorder="1" applyAlignment="1">
      <alignment horizontal="left" vertical="center"/>
    </xf>
    <xf numFmtId="0" fontId="4" fillId="4" borderId="37" xfId="0" applyFont="1" applyFill="1" applyBorder="1" applyAlignment="1">
      <alignment horizontal="left" vertical="center"/>
    </xf>
    <xf numFmtId="0" fontId="4" fillId="4" borderId="31" xfId="0" applyFont="1" applyFill="1" applyBorder="1" applyAlignment="1">
      <alignment horizontal="left" vertical="center"/>
    </xf>
    <xf numFmtId="0" fontId="4" fillId="4" borderId="32" xfId="0" applyFont="1" applyFill="1" applyBorder="1" applyAlignment="1">
      <alignment horizontal="left" vertical="center"/>
    </xf>
    <xf numFmtId="0" fontId="4" fillId="4" borderId="33" xfId="0" applyFont="1" applyFill="1" applyBorder="1" applyAlignment="1">
      <alignment horizontal="left" vertical="center"/>
    </xf>
    <xf numFmtId="0" fontId="4" fillId="4" borderId="46" xfId="0" applyFont="1" applyFill="1" applyBorder="1" applyAlignment="1">
      <alignment horizontal="left" vertical="center"/>
    </xf>
    <xf numFmtId="0" fontId="4" fillId="4" borderId="45" xfId="0" applyFont="1" applyFill="1" applyBorder="1" applyAlignment="1">
      <alignment horizontal="left" vertical="center"/>
    </xf>
    <xf numFmtId="0" fontId="4" fillId="4" borderId="59" xfId="0" applyFont="1" applyFill="1" applyBorder="1" applyAlignment="1">
      <alignment horizontal="left" vertical="center"/>
    </xf>
    <xf numFmtId="0" fontId="4" fillId="4" borderId="60" xfId="0" applyFont="1" applyFill="1" applyBorder="1" applyAlignment="1">
      <alignment horizontal="left" vertical="center"/>
    </xf>
    <xf numFmtId="0" fontId="10" fillId="9" borderId="79" xfId="0" applyFont="1" applyFill="1" applyBorder="1" applyAlignment="1">
      <alignment horizontal="center" vertical="center"/>
    </xf>
    <xf numFmtId="0" fontId="3" fillId="9" borderId="80" xfId="0" applyFont="1" applyFill="1" applyBorder="1" applyAlignment="1">
      <alignment horizontal="center" vertical="center"/>
    </xf>
    <xf numFmtId="0" fontId="3" fillId="9" borderId="82" xfId="0" applyFont="1" applyFill="1" applyBorder="1" applyAlignment="1">
      <alignment horizontal="center" vertical="center"/>
    </xf>
    <xf numFmtId="0" fontId="3" fillId="8" borderId="46" xfId="0" applyFont="1" applyFill="1" applyBorder="1" applyAlignment="1">
      <alignment horizontal="center" vertical="center" textRotation="90" wrapText="1"/>
    </xf>
    <xf numFmtId="0" fontId="3" fillId="8" borderId="0" xfId="0" applyFont="1" applyFill="1" applyAlignment="1">
      <alignment horizontal="center" vertical="center" textRotation="90" wrapText="1"/>
    </xf>
    <xf numFmtId="0" fontId="3" fillId="8" borderId="40" xfId="0" applyFont="1" applyFill="1" applyBorder="1" applyAlignment="1">
      <alignment horizontal="center" vertical="center" textRotation="90" wrapText="1"/>
    </xf>
    <xf numFmtId="0" fontId="4" fillId="4" borderId="0" xfId="0" applyFont="1" applyFill="1" applyAlignment="1">
      <alignment vertical="center" wrapText="1"/>
    </xf>
    <xf numFmtId="0" fontId="2" fillId="3" borderId="4" xfId="0" applyFont="1" applyFill="1" applyBorder="1" applyAlignment="1">
      <alignment horizontal="left" vertical="center" wrapText="1"/>
    </xf>
    <xf numFmtId="0" fontId="2" fillId="3" borderId="5" xfId="0" applyFont="1" applyFill="1" applyBorder="1" applyAlignment="1">
      <alignment horizontal="left" vertical="center" wrapText="1"/>
    </xf>
    <xf numFmtId="0" fontId="2" fillId="3" borderId="6" xfId="0" applyFont="1" applyFill="1" applyBorder="1" applyAlignment="1">
      <alignment horizontal="left" vertical="center" wrapText="1"/>
    </xf>
    <xf numFmtId="0" fontId="3" fillId="12" borderId="8" xfId="0" applyFont="1" applyFill="1" applyBorder="1" applyAlignment="1">
      <alignment horizontal="center" vertical="center" textRotation="90"/>
    </xf>
    <xf numFmtId="0" fontId="3" fillId="12" borderId="0" xfId="0" applyFont="1" applyFill="1" applyAlignment="1">
      <alignment horizontal="center" vertical="center" textRotation="90"/>
    </xf>
    <xf numFmtId="0" fontId="3" fillId="12" borderId="21" xfId="0" applyFont="1" applyFill="1" applyBorder="1" applyAlignment="1">
      <alignment horizontal="center" vertical="center" textRotation="90"/>
    </xf>
    <xf numFmtId="0" fontId="3" fillId="10" borderId="12" xfId="0" applyFont="1" applyFill="1" applyBorder="1" applyAlignment="1">
      <alignment horizontal="center" vertical="center" textRotation="90" wrapText="1"/>
    </xf>
    <xf numFmtId="0" fontId="3" fillId="10" borderId="0" xfId="0" applyFont="1" applyFill="1" applyAlignment="1">
      <alignment horizontal="center" vertical="center" textRotation="90" wrapText="1"/>
    </xf>
    <xf numFmtId="0" fontId="3" fillId="10" borderId="14" xfId="0" applyFont="1" applyFill="1" applyBorder="1" applyAlignment="1">
      <alignment horizontal="center" vertical="center" textRotation="90" wrapText="1"/>
    </xf>
    <xf numFmtId="0" fontId="5" fillId="9" borderId="79" xfId="0" applyFont="1" applyFill="1" applyBorder="1" applyAlignment="1">
      <alignment horizontal="center" vertical="center"/>
    </xf>
    <xf numFmtId="0" fontId="5" fillId="9" borderId="80" xfId="0" applyFont="1" applyFill="1" applyBorder="1" applyAlignment="1">
      <alignment horizontal="center" vertical="center"/>
    </xf>
    <xf numFmtId="0" fontId="5" fillId="9" borderId="81" xfId="0" applyFont="1" applyFill="1" applyBorder="1" applyAlignment="1">
      <alignment horizontal="center" vertical="center"/>
    </xf>
    <xf numFmtId="0" fontId="4" fillId="4" borderId="14" xfId="0" applyFont="1" applyFill="1" applyBorder="1" applyAlignment="1">
      <alignment horizontal="left" vertical="center" wrapText="1"/>
    </xf>
    <xf numFmtId="0" fontId="4" fillId="4" borderId="15" xfId="0" applyFont="1" applyFill="1" applyBorder="1" applyAlignment="1">
      <alignment horizontal="left" vertical="center" wrapText="1"/>
    </xf>
    <xf numFmtId="0" fontId="3" fillId="4" borderId="9" xfId="0" applyFont="1" applyFill="1" applyBorder="1" applyAlignment="1">
      <alignment horizontal="left" vertical="center" wrapText="1"/>
    </xf>
    <xf numFmtId="0" fontId="3" fillId="4" borderId="56" xfId="0" applyFont="1" applyFill="1" applyBorder="1" applyAlignment="1">
      <alignment horizontal="left" vertical="center" wrapText="1"/>
    </xf>
    <xf numFmtId="0" fontId="4" fillId="4" borderId="12" xfId="0" applyFont="1" applyFill="1" applyBorder="1" applyAlignment="1">
      <alignment horizontal="left" vertical="center" wrapText="1"/>
    </xf>
    <xf numFmtId="0" fontId="4" fillId="4" borderId="11" xfId="0" applyFont="1" applyFill="1" applyBorder="1" applyAlignment="1">
      <alignment horizontal="left" vertical="center" wrapText="1"/>
    </xf>
    <xf numFmtId="0" fontId="3" fillId="9" borderId="51" xfId="0" applyFont="1" applyFill="1" applyBorder="1" applyAlignment="1">
      <alignment horizontal="center" vertical="center" textRotation="90"/>
    </xf>
    <xf numFmtId="0" fontId="3" fillId="9" borderId="3" xfId="0" applyFont="1" applyFill="1" applyBorder="1" applyAlignment="1">
      <alignment horizontal="center" vertical="center" textRotation="90"/>
    </xf>
    <xf numFmtId="0" fontId="3" fillId="9" borderId="29" xfId="0" applyFont="1" applyFill="1" applyBorder="1" applyAlignment="1">
      <alignment horizontal="center" vertical="center" textRotation="90"/>
    </xf>
    <xf numFmtId="0" fontId="4" fillId="4" borderId="70" xfId="0" applyFont="1" applyFill="1" applyBorder="1" applyAlignment="1">
      <alignment horizontal="left"/>
    </xf>
    <xf numFmtId="0" fontId="3" fillId="9" borderId="70" xfId="0" applyFont="1" applyFill="1" applyBorder="1" applyAlignment="1">
      <alignment horizontal="center" vertical="center" wrapText="1"/>
    </xf>
    <xf numFmtId="0" fontId="1" fillId="8" borderId="74" xfId="0" applyFont="1" applyFill="1" applyBorder="1" applyAlignment="1">
      <alignment horizontal="center" vertical="center" textRotation="90" wrapText="1"/>
    </xf>
    <xf numFmtId="0" fontId="1" fillId="8" borderId="75" xfId="0" applyFont="1" applyFill="1" applyBorder="1" applyAlignment="1">
      <alignment horizontal="center" vertical="center" textRotation="90" wrapText="1"/>
    </xf>
    <xf numFmtId="0" fontId="1" fillId="8" borderId="76" xfId="0" applyFont="1" applyFill="1" applyBorder="1" applyAlignment="1">
      <alignment horizontal="center" vertical="center" textRotation="90" wrapText="1"/>
    </xf>
    <xf numFmtId="0" fontId="3" fillId="9" borderId="74" xfId="0" applyFont="1" applyFill="1" applyBorder="1" applyAlignment="1">
      <alignment horizontal="center" vertical="center" textRotation="90" wrapText="1"/>
    </xf>
    <xf numFmtId="0" fontId="3" fillId="9" borderId="75" xfId="0" applyFont="1" applyFill="1" applyBorder="1" applyAlignment="1">
      <alignment horizontal="center" vertical="center" textRotation="90" wrapText="1"/>
    </xf>
    <xf numFmtId="0" fontId="3" fillId="9" borderId="76" xfId="0" applyFont="1" applyFill="1" applyBorder="1" applyAlignment="1">
      <alignment horizontal="center" vertical="center" textRotation="90" wrapText="1"/>
    </xf>
    <xf numFmtId="0" fontId="1" fillId="11" borderId="71" xfId="0" applyFont="1" applyFill="1" applyBorder="1" applyAlignment="1">
      <alignment horizontal="center" vertical="center" textRotation="90" wrapText="1"/>
    </xf>
    <xf numFmtId="0" fontId="1" fillId="11" borderId="71" xfId="0" applyFont="1" applyFill="1" applyBorder="1" applyAlignment="1">
      <alignment horizontal="center" vertical="center" textRotation="90"/>
    </xf>
    <xf numFmtId="0" fontId="4" fillId="4" borderId="77" xfId="0" applyFont="1" applyFill="1" applyBorder="1" applyAlignment="1">
      <alignment horizontal="left"/>
    </xf>
    <xf numFmtId="0" fontId="4" fillId="4" borderId="70" xfId="0" applyFont="1" applyFill="1" applyBorder="1" applyAlignment="1">
      <alignment horizontal="center" vertical="center"/>
    </xf>
    <xf numFmtId="0" fontId="3" fillId="9" borderId="77" xfId="0" applyFont="1" applyFill="1" applyBorder="1" applyAlignment="1">
      <alignment horizontal="center" vertical="center" textRotation="90"/>
    </xf>
    <xf numFmtId="0" fontId="3" fillId="9" borderId="70" xfId="0" applyFont="1" applyFill="1" applyBorder="1" applyAlignment="1">
      <alignment horizontal="center" vertical="center" textRotation="90" wrapText="1"/>
    </xf>
    <xf numFmtId="0" fontId="3" fillId="9" borderId="70" xfId="0" applyFont="1" applyFill="1" applyBorder="1" applyAlignment="1">
      <alignment horizontal="center" vertical="center" textRotation="90"/>
    </xf>
    <xf numFmtId="0" fontId="4" fillId="4" borderId="70" xfId="0" applyFont="1" applyFill="1" applyBorder="1" applyAlignment="1">
      <alignment horizontal="center" vertical="center" wrapText="1"/>
    </xf>
    <xf numFmtId="0" fontId="4" fillId="4" borderId="71" xfId="0" applyFont="1" applyFill="1" applyBorder="1" applyAlignment="1">
      <alignment horizontal="left"/>
    </xf>
    <xf numFmtId="0" fontId="4" fillId="4" borderId="77" xfId="0" applyFont="1" applyFill="1" applyBorder="1" applyAlignment="1">
      <alignment horizontal="left" vertical="center"/>
    </xf>
    <xf numFmtId="0" fontId="3" fillId="12" borderId="77" xfId="0" applyFont="1" applyFill="1" applyBorder="1" applyAlignment="1">
      <alignment horizontal="center" vertical="center" textRotation="90" wrapText="1"/>
    </xf>
    <xf numFmtId="0" fontId="3" fillId="9" borderId="77" xfId="0" applyFont="1" applyFill="1" applyBorder="1" applyAlignment="1">
      <alignment horizontal="center" vertical="center"/>
    </xf>
    <xf numFmtId="0" fontId="3" fillId="10" borderId="77" xfId="0" applyFont="1" applyFill="1" applyBorder="1" applyAlignment="1">
      <alignment horizontal="center" vertical="center" textRotation="90" wrapText="1"/>
    </xf>
    <xf numFmtId="0" fontId="4" fillId="4" borderId="78" xfId="0" applyFont="1" applyFill="1" applyBorder="1" applyAlignment="1">
      <alignment horizontal="left" vertical="center"/>
    </xf>
  </cellXfs>
  <cellStyles count="6">
    <cellStyle name="Link" xfId="3" builtinId="8"/>
    <cellStyle name="Link 2" xfId="5" xr:uid="{D16438B1-D6B8-4D01-A93C-977584A0C777}"/>
    <cellStyle name="Prozent" xfId="2" builtinId="5"/>
    <cellStyle name="Standard" xfId="0" builtinId="0"/>
    <cellStyle name="Standard 2" xfId="1" xr:uid="{06238E90-5CA4-4B22-93C5-186AC3806808}"/>
    <cellStyle name="Standard 9" xfId="4" xr:uid="{FE517FEA-00C9-4AA2-A7C7-0A434A096BB6}"/>
  </cellStyles>
  <dxfs count="0"/>
  <tableStyles count="0" defaultTableStyle="TableStyleMedium2" defaultPivotStyle="PivotStyleLight16"/>
  <colors>
    <mruColors>
      <color rgb="FFE3E4EA"/>
      <color rgb="FF65B070"/>
      <color rgb="FFD4D7DF"/>
      <color rgb="FF617494"/>
      <color rgb="FF48A8AE"/>
      <color rgb="FFAD86B0"/>
      <color rgb="FF1E83B3"/>
      <color rgb="FF8393BE"/>
      <color rgb="FF8CAD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097150246491031E-2"/>
          <c:y val="5.4548224256354923E-2"/>
          <c:w val="0.46184370577528283"/>
          <c:h val="0.93358279989140358"/>
        </c:manualLayout>
      </c:layout>
      <c:pieChart>
        <c:varyColors val="1"/>
        <c:ser>
          <c:idx val="0"/>
          <c:order val="0"/>
          <c:spPr>
            <a:effectLst/>
          </c:spPr>
          <c:explosion val="3"/>
          <c:dPt>
            <c:idx val="0"/>
            <c:bubble3D val="0"/>
            <c:spPr>
              <a:solidFill>
                <a:srgbClr val="1E83B3"/>
              </a:solidFill>
              <a:ln>
                <a:noFill/>
              </a:ln>
              <a:effectLst/>
            </c:spPr>
            <c:extLst>
              <c:ext xmlns:c16="http://schemas.microsoft.com/office/drawing/2014/chart" uri="{C3380CC4-5D6E-409C-BE32-E72D297353CC}">
                <c16:uniqueId val="{00000001-3676-40C1-B7D0-F9DF2D5D2A41}"/>
              </c:ext>
            </c:extLst>
          </c:dPt>
          <c:dPt>
            <c:idx val="1"/>
            <c:bubble3D val="0"/>
            <c:spPr>
              <a:solidFill>
                <a:srgbClr val="8393BE"/>
              </a:solidFill>
              <a:ln>
                <a:noFill/>
              </a:ln>
              <a:effectLst/>
            </c:spPr>
            <c:extLst>
              <c:ext xmlns:c16="http://schemas.microsoft.com/office/drawing/2014/chart" uri="{C3380CC4-5D6E-409C-BE32-E72D297353CC}">
                <c16:uniqueId val="{00000003-3676-40C1-B7D0-F9DF2D5D2A41}"/>
              </c:ext>
            </c:extLst>
          </c:dPt>
          <c:dPt>
            <c:idx val="2"/>
            <c:bubble3D val="0"/>
            <c:spPr>
              <a:solidFill>
                <a:srgbClr val="65B070"/>
              </a:solidFill>
              <a:ln>
                <a:noFill/>
              </a:ln>
              <a:effectLst/>
            </c:spPr>
            <c:extLst>
              <c:ext xmlns:c16="http://schemas.microsoft.com/office/drawing/2014/chart" uri="{C3380CC4-5D6E-409C-BE32-E72D297353CC}">
                <c16:uniqueId val="{00000005-3676-40C1-B7D0-F9DF2D5D2A41}"/>
              </c:ext>
            </c:extLst>
          </c:dPt>
          <c:dPt>
            <c:idx val="3"/>
            <c:bubble3D val="0"/>
            <c:spPr>
              <a:solidFill>
                <a:srgbClr val="8CADC3"/>
              </a:solidFill>
              <a:ln>
                <a:noFill/>
              </a:ln>
              <a:effectLst/>
            </c:spPr>
            <c:extLst>
              <c:ext xmlns:c16="http://schemas.microsoft.com/office/drawing/2014/chart" uri="{C3380CC4-5D6E-409C-BE32-E72D297353CC}">
                <c16:uniqueId val="{00000007-3676-40C1-B7D0-F9DF2D5D2A41}"/>
              </c:ext>
            </c:extLst>
          </c:dPt>
          <c:dLbls>
            <c:dLbl>
              <c:idx val="0"/>
              <c:layout>
                <c:manualLayout>
                  <c:x val="-7.4744742992817859E-2"/>
                  <c:y val="0.1202214146629458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676-40C1-B7D0-F9DF2D5D2A41}"/>
                </c:ext>
              </c:extLst>
            </c:dLbl>
            <c:dLbl>
              <c:idx val="1"/>
              <c:layout>
                <c:manualLayout>
                  <c:x val="-9.3769099132135436E-2"/>
                  <c:y val="6.51273739370225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676-40C1-B7D0-F9DF2D5D2A41}"/>
                </c:ext>
              </c:extLst>
            </c:dLbl>
            <c:dLbl>
              <c:idx val="2"/>
              <c:layout>
                <c:manualLayout>
                  <c:x val="4.39885758626401E-2"/>
                  <c:y val="-0.187703782507815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676-40C1-B7D0-F9DF2D5D2A41}"/>
                </c:ext>
              </c:extLst>
            </c:dLbl>
            <c:dLbl>
              <c:idx val="3"/>
              <c:layout>
                <c:manualLayout>
                  <c:x val="7.6466211435958414E-2"/>
                  <c:y val="0.1324611937616656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676-40C1-B7D0-F9DF2D5D2A41}"/>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Backend_calculations!$B$22:$B$25</c:f>
              <c:strCache>
                <c:ptCount val="4"/>
                <c:pt idx="0">
                  <c:v>CAPEX depreciation</c:v>
                </c:pt>
                <c:pt idx="1">
                  <c:v>OPEX</c:v>
                </c:pt>
                <c:pt idx="2">
                  <c:v>Electricity costs</c:v>
                </c:pt>
                <c:pt idx="3">
                  <c:v>Cost of capital</c:v>
                </c:pt>
              </c:strCache>
            </c:strRef>
          </c:cat>
          <c:val>
            <c:numRef>
              <c:f>Backend_calculations!$D$22:$D$25</c:f>
              <c:numCache>
                <c:formatCode>0.0%</c:formatCode>
                <c:ptCount val="4"/>
                <c:pt idx="0">
                  <c:v>9.7112529028455116E-2</c:v>
                </c:pt>
                <c:pt idx="1">
                  <c:v>8.7401276125609606E-2</c:v>
                </c:pt>
                <c:pt idx="2">
                  <c:v>0.67865211596872765</c:v>
                </c:pt>
                <c:pt idx="3">
                  <c:v>0.13683407887720753</c:v>
                </c:pt>
              </c:numCache>
            </c:numRef>
          </c:val>
          <c:extLst>
            <c:ext xmlns:c16="http://schemas.microsoft.com/office/drawing/2014/chart" uri="{C3380CC4-5D6E-409C-BE32-E72D297353CC}">
              <c16:uniqueId val="{00000008-3676-40C1-B7D0-F9DF2D5D2A41}"/>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754914910546155"/>
          <c:y val="0.18576513246674717"/>
          <c:w val="0.39784848256330335"/>
          <c:h val="0.5885031713319594"/>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rgbClr val="E3E4EA"/>
    </a:solidFill>
    <a:ln w="9525" cap="flat" cmpd="sng" algn="ctr">
      <a:solidFill>
        <a:schemeClr val="tx1"/>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35710452092258838"/>
          <c:y val="7.3454412806644637E-2"/>
          <c:w val="0.6237895628876039"/>
          <c:h val="0.70466688577313308"/>
        </c:manualLayout>
      </c:layout>
      <c:barChart>
        <c:barDir val="bar"/>
        <c:grouping val="stacked"/>
        <c:varyColors val="0"/>
        <c:ser>
          <c:idx val="0"/>
          <c:order val="0"/>
          <c:tx>
            <c:strRef>
              <c:f>Backend_calculations!$H$9</c:f>
              <c:strCache>
                <c:ptCount val="1"/>
                <c:pt idx="0">
                  <c:v>-40%</c:v>
                </c:pt>
              </c:strCache>
            </c:strRef>
          </c:tx>
          <c:spPr>
            <a:solidFill>
              <a:srgbClr val="1E83B3"/>
            </a:solidFill>
            <a:ln>
              <a:noFill/>
            </a:ln>
            <a:effectLst/>
          </c:spPr>
          <c:invertIfNegative val="0"/>
          <c:cat>
            <c:multiLvlStrRef>
              <c:f>Backend_calculations!$B$10:$D$16</c:f>
              <c:multiLvlStrCache>
                <c:ptCount val="7"/>
                <c:lvl/>
                <c:lvl/>
                <c:lvl>
                  <c:pt idx="0">
                    <c:v>Discount rate</c:v>
                  </c:pt>
                  <c:pt idx="1">
                    <c:v>CAPEX</c:v>
                  </c:pt>
                  <c:pt idx="2">
                    <c:v>OPEX</c:v>
                  </c:pt>
                  <c:pt idx="3">
                    <c:v>Lifetime electrolysis system</c:v>
                  </c:pt>
                  <c:pt idx="4">
                    <c:v>Full load hours</c:v>
                  </c:pt>
                  <c:pt idx="5">
                    <c:v>Electricity costs</c:v>
                  </c:pt>
                  <c:pt idx="6">
                    <c:v>Specific energy consumption</c:v>
                  </c:pt>
                </c:lvl>
              </c:multiLvlStrCache>
            </c:multiLvlStrRef>
          </c:cat>
          <c:val>
            <c:numRef>
              <c:f>Backend_calculations!$H$10:$H$16</c:f>
              <c:numCache>
                <c:formatCode>0.00</c:formatCode>
                <c:ptCount val="7"/>
                <c:pt idx="0" formatCode="0.0000">
                  <c:v>-0.37157842432257571</c:v>
                </c:pt>
                <c:pt idx="1">
                  <c:v>-0.77008764982332689</c:v>
                </c:pt>
                <c:pt idx="2">
                  <c:v>-0.20891021645693097</c:v>
                </c:pt>
                <c:pt idx="3" formatCode="0.0000">
                  <c:v>0.32774876083360382</c:v>
                </c:pt>
                <c:pt idx="4" formatCode="0.0000">
                  <c:v>1.283479416372213</c:v>
                </c:pt>
                <c:pt idx="5">
                  <c:v>-1.6221429106163709</c:v>
                </c:pt>
                <c:pt idx="6" formatCode="0.0000">
                  <c:v>-2.3922305604396987</c:v>
                </c:pt>
              </c:numCache>
            </c:numRef>
          </c:val>
          <c:extLst>
            <c:ext xmlns:c16="http://schemas.microsoft.com/office/drawing/2014/chart" uri="{C3380CC4-5D6E-409C-BE32-E72D297353CC}">
              <c16:uniqueId val="{00000000-17D7-4AFF-8AD5-614A863B53FD}"/>
            </c:ext>
          </c:extLst>
        </c:ser>
        <c:ser>
          <c:idx val="1"/>
          <c:order val="1"/>
          <c:tx>
            <c:strRef>
              <c:f>Backend_calculations!$I$9</c:f>
              <c:strCache>
                <c:ptCount val="1"/>
                <c:pt idx="0">
                  <c:v>+40%</c:v>
                </c:pt>
              </c:strCache>
            </c:strRef>
          </c:tx>
          <c:spPr>
            <a:solidFill>
              <a:srgbClr val="8CADC3"/>
            </a:solidFill>
            <a:ln>
              <a:noFill/>
            </a:ln>
            <a:effectLst/>
          </c:spPr>
          <c:invertIfNegative val="0"/>
          <c:cat>
            <c:multiLvlStrRef>
              <c:f>Backend_calculations!$B$10:$D$16</c:f>
              <c:multiLvlStrCache>
                <c:ptCount val="7"/>
                <c:lvl/>
                <c:lvl/>
                <c:lvl>
                  <c:pt idx="0">
                    <c:v>Discount rate</c:v>
                  </c:pt>
                  <c:pt idx="1">
                    <c:v>CAPEX</c:v>
                  </c:pt>
                  <c:pt idx="2">
                    <c:v>OPEX</c:v>
                  </c:pt>
                  <c:pt idx="3">
                    <c:v>Lifetime electrolysis system</c:v>
                  </c:pt>
                  <c:pt idx="4">
                    <c:v>Full load hours</c:v>
                  </c:pt>
                  <c:pt idx="5">
                    <c:v>Electricity costs</c:v>
                  </c:pt>
                  <c:pt idx="6">
                    <c:v>Specific energy consumption</c:v>
                  </c:pt>
                </c:lvl>
              </c:multiLvlStrCache>
            </c:multiLvlStrRef>
          </c:cat>
          <c:val>
            <c:numRef>
              <c:f>Backend_calculations!$I$10:$I$16</c:f>
              <c:numCache>
                <c:formatCode>0.00</c:formatCode>
                <c:ptCount val="7"/>
                <c:pt idx="0" formatCode="0.0000">
                  <c:v>0.41306944008079505</c:v>
                </c:pt>
                <c:pt idx="1">
                  <c:v>0.77008764982332778</c:v>
                </c:pt>
                <c:pt idx="2">
                  <c:v>0.20891021645693275</c:v>
                </c:pt>
                <c:pt idx="3" formatCode="0.0000">
                  <c:v>-0.10881604392619781</c:v>
                </c:pt>
                <c:pt idx="4" formatCode="0.0000">
                  <c:v>-0.55006260701666232</c:v>
                </c:pt>
                <c:pt idx="5">
                  <c:v>1.6221429106163718</c:v>
                </c:pt>
                <c:pt idx="6" formatCode="0.0000">
                  <c:v>2.3922305604396961</c:v>
                </c:pt>
              </c:numCache>
            </c:numRef>
          </c:val>
          <c:extLst>
            <c:ext xmlns:c16="http://schemas.microsoft.com/office/drawing/2014/chart" uri="{C3380CC4-5D6E-409C-BE32-E72D297353CC}">
              <c16:uniqueId val="{00000001-17D7-4AFF-8AD5-614A863B53FD}"/>
            </c:ext>
          </c:extLst>
        </c:ser>
        <c:dLbls>
          <c:showLegendKey val="0"/>
          <c:showVal val="0"/>
          <c:showCatName val="0"/>
          <c:showSerName val="0"/>
          <c:showPercent val="0"/>
          <c:showBubbleSize val="0"/>
        </c:dLbls>
        <c:gapWidth val="150"/>
        <c:overlap val="100"/>
        <c:axId val="834040440"/>
        <c:axId val="834040768"/>
      </c:barChart>
      <c:catAx>
        <c:axId val="8340404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834040768"/>
        <c:crosses val="autoZero"/>
        <c:auto val="0"/>
        <c:lblAlgn val="ctr"/>
        <c:lblOffset val="100"/>
        <c:noMultiLvlLbl val="0"/>
      </c:catAx>
      <c:valAx>
        <c:axId val="834040768"/>
        <c:scaling>
          <c:orientation val="minMax"/>
        </c:scaling>
        <c:delete val="0"/>
        <c:axPos val="b"/>
        <c:majorGridlines>
          <c:spPr>
            <a:ln w="9525" cap="flat" cmpd="sng" algn="ctr">
              <a:solidFill>
                <a:schemeClr val="bg1">
                  <a:lumMod val="75000"/>
                </a:schemeClr>
              </a:solidFill>
              <a:round/>
            </a:ln>
            <a:effectLst/>
          </c:spPr>
        </c:majorGridlines>
        <c:minorGridlines>
          <c:spPr>
            <a:ln w="9525" cap="flat" cmpd="sng" algn="ctr">
              <a:solidFill>
                <a:schemeClr val="bg1">
                  <a:lumMod val="85000"/>
                </a:schemeClr>
              </a:solidFill>
              <a:round/>
            </a:ln>
            <a:effectLst/>
          </c:spPr>
        </c:minorGridlines>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de-DE" sz="1100"/>
                  <a:t>LCOH variation [€/kgH</a:t>
                </a:r>
                <a:r>
                  <a:rPr lang="de-DE" sz="1100" baseline="-25000"/>
                  <a:t>2</a:t>
                </a:r>
                <a:r>
                  <a:rPr lang="de-DE" sz="1100"/>
                  <a:t>]</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834040440"/>
        <c:crosses val="autoZero"/>
        <c:crossBetween val="between"/>
      </c:valAx>
      <c:spPr>
        <a:noFill/>
        <a:ln>
          <a:noFill/>
        </a:ln>
        <a:effectLst/>
      </c:spPr>
    </c:plotArea>
    <c:legend>
      <c:legendPos val="b"/>
      <c:layout>
        <c:manualLayout>
          <c:xMode val="edge"/>
          <c:yMode val="edge"/>
          <c:x val="4.8856810509551957E-2"/>
          <c:y val="0.90577096926744927"/>
          <c:w val="0.34042816348060168"/>
          <c:h val="6.4166521455607639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E4EA"/>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555408832690188E-2"/>
          <c:y val="3.9366730541107758E-2"/>
          <c:w val="0.71649059467475529"/>
          <c:h val="0.8563628068254403"/>
        </c:manualLayout>
      </c:layout>
      <c:barChart>
        <c:barDir val="col"/>
        <c:grouping val="stacked"/>
        <c:varyColors val="0"/>
        <c:ser>
          <c:idx val="0"/>
          <c:order val="0"/>
          <c:tx>
            <c:strRef>
              <c:f>Backend_calculations!$C$27</c:f>
              <c:strCache>
                <c:ptCount val="1"/>
              </c:strCache>
            </c:strRef>
          </c:tx>
          <c:spPr>
            <a:noFill/>
            <a:ln>
              <a:noFill/>
            </a:ln>
            <a:effectLst/>
          </c:spPr>
          <c:invertIfNegative val="0"/>
          <c:cat>
            <c:strRef>
              <c:f>Backend_calculations!$B$28:$B$32</c:f>
              <c:strCache>
                <c:ptCount val="5"/>
                <c:pt idx="0">
                  <c:v>CAPEX depreciation [€/kgH2]</c:v>
                </c:pt>
                <c:pt idx="1">
                  <c:v>OPEX [€/kgH2]</c:v>
                </c:pt>
                <c:pt idx="2">
                  <c:v>Electricity costs [€/kgH2]</c:v>
                </c:pt>
                <c:pt idx="3">
                  <c:v>Cost of capital  [€/kgH2]</c:v>
                </c:pt>
                <c:pt idx="4">
                  <c:v>Total LCOH [€/kgH2]</c:v>
                </c:pt>
              </c:strCache>
            </c:strRef>
          </c:cat>
          <c:val>
            <c:numRef>
              <c:f>Backend_calculations!$C$28:$C$32</c:f>
              <c:numCache>
                <c:formatCode>General</c:formatCode>
                <c:ptCount val="5"/>
                <c:pt idx="0">
                  <c:v>0</c:v>
                </c:pt>
                <c:pt idx="1">
                  <c:v>0.5803061568248099</c:v>
                </c:pt>
                <c:pt idx="2">
                  <c:v>1.1025816979671388</c:v>
                </c:pt>
                <c:pt idx="3">
                  <c:v>5.1579389745080668</c:v>
                </c:pt>
              </c:numCache>
            </c:numRef>
          </c:val>
          <c:extLst>
            <c:ext xmlns:c16="http://schemas.microsoft.com/office/drawing/2014/chart" uri="{C3380CC4-5D6E-409C-BE32-E72D297353CC}">
              <c16:uniqueId val="{00000000-8368-40DB-A19B-293B8ADBA557}"/>
            </c:ext>
          </c:extLst>
        </c:ser>
        <c:ser>
          <c:idx val="1"/>
          <c:order val="1"/>
          <c:tx>
            <c:strRef>
              <c:f>Backend_calculations!$D$27</c:f>
              <c:strCache>
                <c:ptCount val="1"/>
                <c:pt idx="0">
                  <c:v>Electrolyser system [€/kgH2]</c:v>
                </c:pt>
              </c:strCache>
            </c:strRef>
          </c:tx>
          <c:spPr>
            <a:solidFill>
              <a:srgbClr val="AD86B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Backend_calculations!$B$28:$B$32</c:f>
              <c:strCache>
                <c:ptCount val="5"/>
                <c:pt idx="0">
                  <c:v>CAPEX depreciation [€/kgH2]</c:v>
                </c:pt>
                <c:pt idx="1">
                  <c:v>OPEX [€/kgH2]</c:v>
                </c:pt>
                <c:pt idx="2">
                  <c:v>Electricity costs [€/kgH2]</c:v>
                </c:pt>
                <c:pt idx="3">
                  <c:v>Cost of capital  [€/kgH2]</c:v>
                </c:pt>
                <c:pt idx="4">
                  <c:v>Total LCOH [€/kgH2]</c:v>
                </c:pt>
              </c:strCache>
            </c:strRef>
          </c:cat>
          <c:val>
            <c:numRef>
              <c:f>Backend_calculations!$D$28:$D$32</c:f>
              <c:numCache>
                <c:formatCode>0.00</c:formatCode>
                <c:ptCount val="5"/>
                <c:pt idx="0">
                  <c:v>0.3862245025277074</c:v>
                </c:pt>
                <c:pt idx="3">
                  <c:v>0.54750880566957283</c:v>
                </c:pt>
              </c:numCache>
            </c:numRef>
          </c:val>
          <c:extLst>
            <c:ext xmlns:c16="http://schemas.microsoft.com/office/drawing/2014/chart" uri="{C3380CC4-5D6E-409C-BE32-E72D297353CC}">
              <c16:uniqueId val="{00000001-8368-40DB-A19B-293B8ADBA557}"/>
            </c:ext>
          </c:extLst>
        </c:ser>
        <c:ser>
          <c:idx val="2"/>
          <c:order val="2"/>
          <c:tx>
            <c:strRef>
              <c:f>Backend_calculations!$E$27</c:f>
              <c:strCache>
                <c:ptCount val="1"/>
                <c:pt idx="0">
                  <c:v>Stack replacement [€/kgH2]</c:v>
                </c:pt>
              </c:strCache>
            </c:strRef>
          </c:tx>
          <c:spPr>
            <a:solidFill>
              <a:srgbClr val="1E83B3"/>
            </a:solidFill>
            <a:ln>
              <a:noFill/>
            </a:ln>
            <a:effectLst/>
          </c:spPr>
          <c:invertIfNegative val="0"/>
          <c:cat>
            <c:strRef>
              <c:f>Backend_calculations!$B$28:$B$32</c:f>
              <c:strCache>
                <c:ptCount val="5"/>
                <c:pt idx="0">
                  <c:v>CAPEX depreciation [€/kgH2]</c:v>
                </c:pt>
                <c:pt idx="1">
                  <c:v>OPEX [€/kgH2]</c:v>
                </c:pt>
                <c:pt idx="2">
                  <c:v>Electricity costs [€/kgH2]</c:v>
                </c:pt>
                <c:pt idx="3">
                  <c:v>Cost of capital  [€/kgH2]</c:v>
                </c:pt>
                <c:pt idx="4">
                  <c:v>Total LCOH [€/kgH2]</c:v>
                </c:pt>
              </c:strCache>
            </c:strRef>
          </c:cat>
          <c:val>
            <c:numRef>
              <c:f>Backend_calculations!$E$28:$E$32</c:f>
              <c:numCache>
                <c:formatCode>0.00</c:formatCode>
                <c:ptCount val="5"/>
                <c:pt idx="0">
                  <c:v>5.7933675379156106E-2</c:v>
                </c:pt>
                <c:pt idx="3">
                  <c:v>7.7155360474222737E-2</c:v>
                </c:pt>
              </c:numCache>
            </c:numRef>
          </c:val>
          <c:extLst>
            <c:ext xmlns:c16="http://schemas.microsoft.com/office/drawing/2014/chart" uri="{C3380CC4-5D6E-409C-BE32-E72D297353CC}">
              <c16:uniqueId val="{00000002-8368-40DB-A19B-293B8ADBA557}"/>
            </c:ext>
          </c:extLst>
        </c:ser>
        <c:ser>
          <c:idx val="3"/>
          <c:order val="3"/>
          <c:tx>
            <c:strRef>
              <c:f>Backend_calculations!$F$27</c:f>
              <c:strCache>
                <c:ptCount val="1"/>
                <c:pt idx="0">
                  <c:v>EPC [€/kgH2]</c:v>
                </c:pt>
              </c:strCache>
            </c:strRef>
          </c:tx>
          <c:spPr>
            <a:solidFill>
              <a:srgbClr val="65B070"/>
            </a:solidFill>
            <a:ln>
              <a:noFill/>
            </a:ln>
            <a:effectLst/>
          </c:spPr>
          <c:invertIfNegative val="0"/>
          <c:cat>
            <c:strRef>
              <c:f>Backend_calculations!$B$28:$B$32</c:f>
              <c:strCache>
                <c:ptCount val="5"/>
                <c:pt idx="0">
                  <c:v>CAPEX depreciation [€/kgH2]</c:v>
                </c:pt>
                <c:pt idx="1">
                  <c:v>OPEX [€/kgH2]</c:v>
                </c:pt>
                <c:pt idx="2">
                  <c:v>Electricity costs [€/kgH2]</c:v>
                </c:pt>
                <c:pt idx="3">
                  <c:v>Cost of capital  [€/kgH2]</c:v>
                </c:pt>
                <c:pt idx="4">
                  <c:v>Total LCOH [€/kgH2]</c:v>
                </c:pt>
              </c:strCache>
            </c:strRef>
          </c:cat>
          <c:val>
            <c:numRef>
              <c:f>Backend_calculations!$F$28:$F$32</c:f>
              <c:numCache>
                <c:formatCode>0.00</c:formatCode>
                <c:ptCount val="5"/>
                <c:pt idx="0">
                  <c:v>0.11586735075831221</c:v>
                </c:pt>
                <c:pt idx="3">
                  <c:v>0.16425264170087189</c:v>
                </c:pt>
              </c:numCache>
            </c:numRef>
          </c:val>
          <c:extLst>
            <c:ext xmlns:c16="http://schemas.microsoft.com/office/drawing/2014/chart" uri="{C3380CC4-5D6E-409C-BE32-E72D297353CC}">
              <c16:uniqueId val="{00000003-8368-40DB-A19B-293B8ADBA557}"/>
            </c:ext>
          </c:extLst>
        </c:ser>
        <c:ser>
          <c:idx val="4"/>
          <c:order val="4"/>
          <c:tx>
            <c:strRef>
              <c:f>Backend_calculations!$G$27</c:f>
              <c:strCache>
                <c:ptCount val="1"/>
                <c:pt idx="0">
                  <c:v>Building [€/kgH2]</c:v>
                </c:pt>
              </c:strCache>
            </c:strRef>
          </c:tx>
          <c:spPr>
            <a:solidFill>
              <a:srgbClr val="D4D7DF"/>
            </a:solidFill>
            <a:ln>
              <a:noFill/>
            </a:ln>
            <a:effectLst/>
          </c:spPr>
          <c:invertIfNegative val="0"/>
          <c:cat>
            <c:strRef>
              <c:f>Backend_calculations!$B$28:$B$32</c:f>
              <c:strCache>
                <c:ptCount val="5"/>
                <c:pt idx="0">
                  <c:v>CAPEX depreciation [€/kgH2]</c:v>
                </c:pt>
                <c:pt idx="1">
                  <c:v>OPEX [€/kgH2]</c:v>
                </c:pt>
                <c:pt idx="2">
                  <c:v>Electricity costs [€/kgH2]</c:v>
                </c:pt>
                <c:pt idx="3">
                  <c:v>Cost of capital  [€/kgH2]</c:v>
                </c:pt>
                <c:pt idx="4">
                  <c:v>Total LCOH [€/kgH2]</c:v>
                </c:pt>
              </c:strCache>
            </c:strRef>
          </c:cat>
          <c:val>
            <c:numRef>
              <c:f>Backend_calculations!$G$28:$G$32</c:f>
              <c:numCache>
                <c:formatCode>0.00</c:formatCode>
                <c:ptCount val="5"/>
                <c:pt idx="0">
                  <c:v>0</c:v>
                </c:pt>
                <c:pt idx="3">
                  <c:v>0</c:v>
                </c:pt>
              </c:numCache>
            </c:numRef>
          </c:val>
          <c:extLst>
            <c:ext xmlns:c16="http://schemas.microsoft.com/office/drawing/2014/chart" uri="{C3380CC4-5D6E-409C-BE32-E72D297353CC}">
              <c16:uniqueId val="{00000004-8368-40DB-A19B-293B8ADBA557}"/>
            </c:ext>
          </c:extLst>
        </c:ser>
        <c:ser>
          <c:idx val="5"/>
          <c:order val="5"/>
          <c:tx>
            <c:strRef>
              <c:f>Backend_calculations!$H$27</c:f>
              <c:strCache>
                <c:ptCount val="1"/>
                <c:pt idx="0">
                  <c:v>Compressor costs [€/kgH2]</c:v>
                </c:pt>
              </c:strCache>
            </c:strRef>
          </c:tx>
          <c:spPr>
            <a:solidFill>
              <a:srgbClr val="8393BE"/>
            </a:solidFill>
            <a:ln>
              <a:noFill/>
            </a:ln>
            <a:effectLst/>
          </c:spPr>
          <c:invertIfNegative val="0"/>
          <c:cat>
            <c:strRef>
              <c:f>Backend_calculations!$B$28:$B$32</c:f>
              <c:strCache>
                <c:ptCount val="5"/>
                <c:pt idx="0">
                  <c:v>CAPEX depreciation [€/kgH2]</c:v>
                </c:pt>
                <c:pt idx="1">
                  <c:v>OPEX [€/kgH2]</c:v>
                </c:pt>
                <c:pt idx="2">
                  <c:v>Electricity costs [€/kgH2]</c:v>
                </c:pt>
                <c:pt idx="3">
                  <c:v>Cost of capital  [€/kgH2]</c:v>
                </c:pt>
                <c:pt idx="4">
                  <c:v>Total LCOH [€/kgH2]</c:v>
                </c:pt>
              </c:strCache>
            </c:strRef>
          </c:cat>
          <c:val>
            <c:numRef>
              <c:f>Backend_calculations!$H$28:$H$32</c:f>
              <c:numCache>
                <c:formatCode>0.00</c:formatCode>
                <c:ptCount val="5"/>
                <c:pt idx="0">
                  <c:v>2.0280628159634193E-2</c:v>
                </c:pt>
                <c:pt idx="3">
                  <c:v>2.8749658370298373E-2</c:v>
                </c:pt>
              </c:numCache>
            </c:numRef>
          </c:val>
          <c:extLst>
            <c:ext xmlns:c16="http://schemas.microsoft.com/office/drawing/2014/chart" uri="{C3380CC4-5D6E-409C-BE32-E72D297353CC}">
              <c16:uniqueId val="{00000005-8368-40DB-A19B-293B8ADBA557}"/>
            </c:ext>
          </c:extLst>
        </c:ser>
        <c:ser>
          <c:idx val="6"/>
          <c:order val="6"/>
          <c:tx>
            <c:strRef>
              <c:f>Backend_calculations!$I$27</c:f>
              <c:strCache>
                <c:ptCount val="1"/>
                <c:pt idx="0">
                  <c:v>CAPEX free user input [€/kgH2]</c:v>
                </c:pt>
              </c:strCache>
            </c:strRef>
          </c:tx>
          <c:spPr>
            <a:solidFill>
              <a:srgbClr val="8CADC3"/>
            </a:solidFill>
            <a:ln>
              <a:noFill/>
            </a:ln>
            <a:effectLst/>
          </c:spPr>
          <c:invertIfNegative val="0"/>
          <c:cat>
            <c:strRef>
              <c:f>Backend_calculations!$B$28:$B$32</c:f>
              <c:strCache>
                <c:ptCount val="5"/>
                <c:pt idx="0">
                  <c:v>CAPEX depreciation [€/kgH2]</c:v>
                </c:pt>
                <c:pt idx="1">
                  <c:v>OPEX [€/kgH2]</c:v>
                </c:pt>
                <c:pt idx="2">
                  <c:v>Electricity costs [€/kgH2]</c:v>
                </c:pt>
                <c:pt idx="3">
                  <c:v>Cost of capital  [€/kgH2]</c:v>
                </c:pt>
                <c:pt idx="4">
                  <c:v>Total LCOH [€/kgH2]</c:v>
                </c:pt>
              </c:strCache>
            </c:strRef>
          </c:cat>
          <c:val>
            <c:numRef>
              <c:f>Backend_calculations!$I$28:$I$32</c:f>
              <c:numCache>
                <c:formatCode>0.00</c:formatCode>
                <c:ptCount val="5"/>
                <c:pt idx="0">
                  <c:v>0</c:v>
                </c:pt>
                <c:pt idx="3">
                  <c:v>0</c:v>
                </c:pt>
              </c:numCache>
            </c:numRef>
          </c:val>
          <c:extLst>
            <c:ext xmlns:c16="http://schemas.microsoft.com/office/drawing/2014/chart" uri="{C3380CC4-5D6E-409C-BE32-E72D297353CC}">
              <c16:uniqueId val="{00000006-8368-40DB-A19B-293B8ADBA557}"/>
            </c:ext>
          </c:extLst>
        </c:ser>
        <c:ser>
          <c:idx val="7"/>
          <c:order val="7"/>
          <c:tx>
            <c:strRef>
              <c:f>Backend_calculations!$J$27</c:f>
              <c:strCache>
                <c:ptCount val="1"/>
                <c:pt idx="0">
                  <c:v>OPEX [€/kgH2]</c:v>
                </c:pt>
              </c:strCache>
            </c:strRef>
          </c:tx>
          <c:spPr>
            <a:solidFill>
              <a:srgbClr val="8393B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Backend_calculations!$B$28:$B$32</c:f>
              <c:strCache>
                <c:ptCount val="5"/>
                <c:pt idx="0">
                  <c:v>CAPEX depreciation [€/kgH2]</c:v>
                </c:pt>
                <c:pt idx="1">
                  <c:v>OPEX [€/kgH2]</c:v>
                </c:pt>
                <c:pt idx="2">
                  <c:v>Electricity costs [€/kgH2]</c:v>
                </c:pt>
                <c:pt idx="3">
                  <c:v>Cost of capital  [€/kgH2]</c:v>
                </c:pt>
                <c:pt idx="4">
                  <c:v>Total LCOH [€/kgH2]</c:v>
                </c:pt>
              </c:strCache>
            </c:strRef>
          </c:cat>
          <c:val>
            <c:numRef>
              <c:f>Backend_calculations!$J$28:$J$32</c:f>
              <c:numCache>
                <c:formatCode>0.00</c:formatCode>
                <c:ptCount val="5"/>
                <c:pt idx="1">
                  <c:v>0.52227554114232888</c:v>
                </c:pt>
              </c:numCache>
            </c:numRef>
          </c:val>
          <c:extLst>
            <c:ext xmlns:c16="http://schemas.microsoft.com/office/drawing/2014/chart" uri="{C3380CC4-5D6E-409C-BE32-E72D297353CC}">
              <c16:uniqueId val="{00000007-8368-40DB-A19B-293B8ADBA557}"/>
            </c:ext>
          </c:extLst>
        </c:ser>
        <c:ser>
          <c:idx val="8"/>
          <c:order val="8"/>
          <c:tx>
            <c:strRef>
              <c:f>Backend_calculations!$K$27</c:f>
              <c:strCache>
                <c:ptCount val="1"/>
                <c:pt idx="0">
                  <c:v>Electricity costs [€/kgH2]</c:v>
                </c:pt>
              </c:strCache>
            </c:strRef>
          </c:tx>
          <c:spPr>
            <a:solidFill>
              <a:srgbClr val="61749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Backend_calculations!$B$28:$B$32</c:f>
              <c:strCache>
                <c:ptCount val="5"/>
                <c:pt idx="0">
                  <c:v>CAPEX depreciation [€/kgH2]</c:v>
                </c:pt>
                <c:pt idx="1">
                  <c:v>OPEX [€/kgH2]</c:v>
                </c:pt>
                <c:pt idx="2">
                  <c:v>Electricity costs [€/kgH2]</c:v>
                </c:pt>
                <c:pt idx="3">
                  <c:v>Cost of capital  [€/kgH2]</c:v>
                </c:pt>
                <c:pt idx="4">
                  <c:v>Total LCOH [€/kgH2]</c:v>
                </c:pt>
              </c:strCache>
            </c:strRef>
          </c:cat>
          <c:val>
            <c:numRef>
              <c:f>Backend_calculations!$K$28:$K$32</c:f>
              <c:numCache>
                <c:formatCode>0.00</c:formatCode>
                <c:ptCount val="5"/>
                <c:pt idx="2">
                  <c:v>3.8850000000000002</c:v>
                </c:pt>
              </c:numCache>
            </c:numRef>
          </c:val>
          <c:extLst>
            <c:ext xmlns:c16="http://schemas.microsoft.com/office/drawing/2014/chart" uri="{C3380CC4-5D6E-409C-BE32-E72D297353CC}">
              <c16:uniqueId val="{00000008-8368-40DB-A19B-293B8ADBA557}"/>
            </c:ext>
          </c:extLst>
        </c:ser>
        <c:ser>
          <c:idx val="9"/>
          <c:order val="9"/>
          <c:tx>
            <c:strRef>
              <c:f>Backend_calculations!$L$27</c:f>
              <c:strCache>
                <c:ptCount val="1"/>
                <c:pt idx="0">
                  <c:v>Electricity costs compression [€/kgH2]</c:v>
                </c:pt>
              </c:strCache>
            </c:strRef>
          </c:tx>
          <c:spPr>
            <a:solidFill>
              <a:srgbClr val="65B070"/>
            </a:solidFill>
            <a:ln>
              <a:noFill/>
            </a:ln>
            <a:effectLst/>
          </c:spPr>
          <c:invertIfNegative val="0"/>
          <c:cat>
            <c:strRef>
              <c:f>Backend_calculations!$B$28:$B$32</c:f>
              <c:strCache>
                <c:ptCount val="5"/>
                <c:pt idx="0">
                  <c:v>CAPEX depreciation [€/kgH2]</c:v>
                </c:pt>
                <c:pt idx="1">
                  <c:v>OPEX [€/kgH2]</c:v>
                </c:pt>
                <c:pt idx="2">
                  <c:v>Electricity costs [€/kgH2]</c:v>
                </c:pt>
                <c:pt idx="3">
                  <c:v>Cost of capital  [€/kgH2]</c:v>
                </c:pt>
                <c:pt idx="4">
                  <c:v>Total LCOH [€/kgH2]</c:v>
                </c:pt>
              </c:strCache>
            </c:strRef>
          </c:cat>
          <c:val>
            <c:numRef>
              <c:f>Backend_calculations!$L$28:$L$32</c:f>
              <c:numCache>
                <c:formatCode>0.00</c:formatCode>
                <c:ptCount val="5"/>
                <c:pt idx="1">
                  <c:v>0</c:v>
                </c:pt>
                <c:pt idx="2">
                  <c:v>0.17035727654092758</c:v>
                </c:pt>
              </c:numCache>
            </c:numRef>
          </c:val>
          <c:extLst>
            <c:ext xmlns:c16="http://schemas.microsoft.com/office/drawing/2014/chart" uri="{C3380CC4-5D6E-409C-BE32-E72D297353CC}">
              <c16:uniqueId val="{00000009-8368-40DB-A19B-293B8ADBA557}"/>
            </c:ext>
          </c:extLst>
        </c:ser>
        <c:ser>
          <c:idx val="11"/>
          <c:order val="11"/>
          <c:tx>
            <c:strRef>
              <c:f>Backend_calculations!$N$27</c:f>
              <c:strCache>
                <c:ptCount val="1"/>
                <c:pt idx="0">
                  <c:v>Total LCOH [€/kgH2]</c:v>
                </c:pt>
              </c:strCache>
            </c:strRef>
          </c:tx>
          <c:spPr>
            <a:solidFill>
              <a:srgbClr val="48A8A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Backend_calculations!$B$28:$B$32</c:f>
              <c:strCache>
                <c:ptCount val="5"/>
                <c:pt idx="0">
                  <c:v>CAPEX depreciation [€/kgH2]</c:v>
                </c:pt>
                <c:pt idx="1">
                  <c:v>OPEX [€/kgH2]</c:v>
                </c:pt>
                <c:pt idx="2">
                  <c:v>Electricity costs [€/kgH2]</c:v>
                </c:pt>
                <c:pt idx="3">
                  <c:v>Cost of capital  [€/kgH2]</c:v>
                </c:pt>
                <c:pt idx="4">
                  <c:v>Total LCOH [€/kgH2]</c:v>
                </c:pt>
              </c:strCache>
            </c:strRef>
          </c:cat>
          <c:val>
            <c:numRef>
              <c:f>Backend_calculations!$N$28:$N$32</c:f>
              <c:numCache>
                <c:formatCode>0.00</c:formatCode>
                <c:ptCount val="5"/>
                <c:pt idx="4">
                  <c:v>5.975605440723033</c:v>
                </c:pt>
              </c:numCache>
            </c:numRef>
          </c:val>
          <c:extLst>
            <c:ext xmlns:c16="http://schemas.microsoft.com/office/drawing/2014/chart" uri="{C3380CC4-5D6E-409C-BE32-E72D297353CC}">
              <c16:uniqueId val="{00000001-0F46-4211-B381-0692E979C555}"/>
            </c:ext>
          </c:extLst>
        </c:ser>
        <c:dLbls>
          <c:showLegendKey val="0"/>
          <c:showVal val="0"/>
          <c:showCatName val="0"/>
          <c:showSerName val="0"/>
          <c:showPercent val="0"/>
          <c:showBubbleSize val="0"/>
        </c:dLbls>
        <c:gapWidth val="150"/>
        <c:overlap val="100"/>
        <c:axId val="1972020384"/>
        <c:axId val="1972020800"/>
        <c:extLst>
          <c:ext xmlns:c15="http://schemas.microsoft.com/office/drawing/2012/chart" uri="{02D57815-91ED-43cb-92C2-25804820EDAC}">
            <c15:filteredBarSeries>
              <c15:ser>
                <c:idx val="10"/>
                <c:order val="10"/>
                <c:tx>
                  <c:strRef>
                    <c:extLst>
                      <c:ext uri="{02D57815-91ED-43cb-92C2-25804820EDAC}">
                        <c15:formulaRef>
                          <c15:sqref>Backend_calculations!$M$27</c15:sqref>
                        </c15:formulaRef>
                      </c:ext>
                    </c:extLst>
                    <c:strCache>
                      <c:ptCount val="1"/>
                      <c:pt idx="0">
                        <c:v>Cost of capital [€/kgH2]</c:v>
                      </c:pt>
                    </c:strCache>
                  </c:strRef>
                </c:tx>
                <c:spPr>
                  <a:solidFill>
                    <a:srgbClr val="1E83B3"/>
                  </a:solidFill>
                  <a:ln>
                    <a:noFill/>
                  </a:ln>
                  <a:effectLst/>
                </c:spPr>
                <c:invertIfNegative val="0"/>
                <c:cat>
                  <c:strRef>
                    <c:extLst>
                      <c:ext uri="{02D57815-91ED-43cb-92C2-25804820EDAC}">
                        <c15:formulaRef>
                          <c15:sqref>Backend_calculations!$B$28:$B$32</c15:sqref>
                        </c15:formulaRef>
                      </c:ext>
                    </c:extLst>
                    <c:strCache>
                      <c:ptCount val="5"/>
                      <c:pt idx="0">
                        <c:v>CAPEX depreciation [€/kgH2]</c:v>
                      </c:pt>
                      <c:pt idx="1">
                        <c:v>OPEX [€/kgH2]</c:v>
                      </c:pt>
                      <c:pt idx="2">
                        <c:v>Electricity costs [€/kgH2]</c:v>
                      </c:pt>
                      <c:pt idx="3">
                        <c:v>Cost of capital  [€/kgH2]</c:v>
                      </c:pt>
                      <c:pt idx="4">
                        <c:v>Total LCOH [€/kgH2]</c:v>
                      </c:pt>
                    </c:strCache>
                  </c:strRef>
                </c:cat>
                <c:val>
                  <c:numRef>
                    <c:extLst>
                      <c:ext uri="{02D57815-91ED-43cb-92C2-25804820EDAC}">
                        <c15:formulaRef>
                          <c15:sqref>Backend_calculations!$M$28:$M$32</c15:sqref>
                        </c15:formulaRef>
                      </c:ext>
                    </c:extLst>
                    <c:numCache>
                      <c:formatCode>0.00</c:formatCode>
                      <c:ptCount val="5"/>
                      <c:pt idx="1">
                        <c:v>0</c:v>
                      </c:pt>
                    </c:numCache>
                  </c:numRef>
                </c:val>
                <c:extLst>
                  <c:ext xmlns:c16="http://schemas.microsoft.com/office/drawing/2014/chart" uri="{C3380CC4-5D6E-409C-BE32-E72D297353CC}">
                    <c16:uniqueId val="{0000000A-8368-40DB-A19B-293B8ADBA557}"/>
                  </c:ext>
                </c:extLst>
              </c15:ser>
            </c15:filteredBarSeries>
          </c:ext>
        </c:extLst>
      </c:barChart>
      <c:catAx>
        <c:axId val="197202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972020800"/>
        <c:crosses val="autoZero"/>
        <c:auto val="1"/>
        <c:lblAlgn val="ctr"/>
        <c:lblOffset val="100"/>
        <c:noMultiLvlLbl val="0"/>
      </c:catAx>
      <c:valAx>
        <c:axId val="197202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de-DE" sz="1100"/>
                  <a:t>LCOH [€/kg</a:t>
                </a:r>
                <a:r>
                  <a:rPr lang="de-DE" sz="1100" baseline="0"/>
                  <a:t>H</a:t>
                </a:r>
                <a:r>
                  <a:rPr lang="de-DE" sz="1100" baseline="-25000"/>
                  <a:t>2</a:t>
                </a:r>
                <a:r>
                  <a:rPr lang="de-DE" sz="1100" baseline="0"/>
                  <a:t>]</a:t>
                </a:r>
                <a:endParaRPr lang="de-DE"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72020384"/>
        <c:crosses val="autoZero"/>
        <c:crossBetween val="between"/>
      </c:valAx>
      <c:spPr>
        <a:noFill/>
        <a:ln>
          <a:noFill/>
        </a:ln>
        <a:effectLst/>
      </c:spPr>
    </c:plotArea>
    <c:legend>
      <c:legendPos val="r"/>
      <c:layout>
        <c:manualLayout>
          <c:xMode val="edge"/>
          <c:yMode val="edge"/>
          <c:x val="0.75797689940457702"/>
          <c:y val="4.7935415583989428E-2"/>
          <c:w val="0.21988141763549757"/>
          <c:h val="0.950534768179148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E4EA"/>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sv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image" Target="../media/image5.svg"/><Relationship Id="rId7"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chart" Target="../charts/chart1.xml"/><Relationship Id="rId6" Type="http://schemas.openxmlformats.org/officeDocument/2006/relationships/image" Target="../media/image6.pn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785706</xdr:colOff>
      <xdr:row>25</xdr:row>
      <xdr:rowOff>136736</xdr:rowOff>
    </xdr:from>
    <xdr:to>
      <xdr:col>14</xdr:col>
      <xdr:colOff>762000</xdr:colOff>
      <xdr:row>31</xdr:row>
      <xdr:rowOff>42333</xdr:rowOff>
    </xdr:to>
    <xdr:sp macro="" textlink="">
      <xdr:nvSpPr>
        <xdr:cNvPr id="2" name="Rechteck 1">
          <a:extLst>
            <a:ext uri="{FF2B5EF4-FFF2-40B4-BE49-F238E27FC236}">
              <a16:creationId xmlns:a16="http://schemas.microsoft.com/office/drawing/2014/main" id="{2306B4DF-8011-454A-AB74-94353126CAA9}"/>
            </a:ext>
          </a:extLst>
        </xdr:cNvPr>
        <xdr:cNvSpPr/>
      </xdr:nvSpPr>
      <xdr:spPr>
        <a:xfrm>
          <a:off x="785706" y="5750136"/>
          <a:ext cx="11296227" cy="1023197"/>
        </a:xfrm>
        <a:prstGeom prst="rect">
          <a:avLst/>
        </a:prstGeom>
        <a:solidFill>
          <a:srgbClr val="E3E4EA"/>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solidFill>
                <a:sysClr val="windowText" lastClr="000000"/>
              </a:solidFill>
            </a:rPr>
            <a:t>This Excel tool contains numerous simplifications and is not intended for use in projects. No liability is assumed for the applications of the tool nor for any errors in the tool. The tool does not replace a proper consulting project. </a:t>
          </a:r>
        </a:p>
      </xdr:txBody>
    </xdr:sp>
    <xdr:clientData/>
  </xdr:twoCellAnchor>
  <xdr:twoCellAnchor>
    <xdr:from>
      <xdr:col>9</xdr:col>
      <xdr:colOff>304799</xdr:colOff>
      <xdr:row>1</xdr:row>
      <xdr:rowOff>160867</xdr:rowOff>
    </xdr:from>
    <xdr:to>
      <xdr:col>14</xdr:col>
      <xdr:colOff>540352</xdr:colOff>
      <xdr:row>1</xdr:row>
      <xdr:rowOff>944996</xdr:rowOff>
    </xdr:to>
    <xdr:grpSp>
      <xdr:nvGrpSpPr>
        <xdr:cNvPr id="6" name="Gruppieren 4">
          <a:extLst>
            <a:ext uri="{FF2B5EF4-FFF2-40B4-BE49-F238E27FC236}">
              <a16:creationId xmlns:a16="http://schemas.microsoft.com/office/drawing/2014/main" id="{9310554C-1D81-44C1-907E-8A41ACD16791}"/>
            </a:ext>
          </a:extLst>
        </xdr:cNvPr>
        <xdr:cNvGrpSpPr/>
      </xdr:nvGrpSpPr>
      <xdr:grpSpPr>
        <a:xfrm>
          <a:off x="7448549" y="437092"/>
          <a:ext cx="4045553" cy="784129"/>
          <a:chOff x="12791459" y="151437"/>
          <a:chExt cx="4029224" cy="828209"/>
        </a:xfrm>
      </xdr:grpSpPr>
      <xdr:pic>
        <xdr:nvPicPr>
          <xdr:cNvPr id="7" name="Grafik 8">
            <a:extLst>
              <a:ext uri="{FF2B5EF4-FFF2-40B4-BE49-F238E27FC236}">
                <a16:creationId xmlns:a16="http://schemas.microsoft.com/office/drawing/2014/main" id="{2AE79186-B908-222B-8C69-3E66FCE784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12791459" y="151437"/>
            <a:ext cx="1918204" cy="828209"/>
          </a:xfrm>
          <a:prstGeom prst="rect">
            <a:avLst/>
          </a:prstGeom>
          <a:noFill/>
          <a:ln>
            <a:noFill/>
          </a:ln>
        </xdr:spPr>
      </xdr:pic>
      <xdr:pic>
        <xdr:nvPicPr>
          <xdr:cNvPr id="8" name="Grafik 25">
            <a:extLst>
              <a:ext uri="{FF2B5EF4-FFF2-40B4-BE49-F238E27FC236}">
                <a16:creationId xmlns:a16="http://schemas.microsoft.com/office/drawing/2014/main" id="{0B551390-EC58-3A14-9EFC-565D00051CDC}"/>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4901883" y="151541"/>
            <a:ext cx="1918800" cy="828000"/>
          </a:xfrm>
          <a:prstGeom prst="rect">
            <a:avLst/>
          </a:prstGeom>
        </xdr:spPr>
      </xdr:pic>
    </xdr:grpSp>
    <xdr:clientData/>
  </xdr:twoCellAnchor>
  <xdr:twoCellAnchor editAs="oneCell">
    <xdr:from>
      <xdr:col>1</xdr:col>
      <xdr:colOff>101599</xdr:colOff>
      <xdr:row>1</xdr:row>
      <xdr:rowOff>16934</xdr:rowOff>
    </xdr:from>
    <xdr:to>
      <xdr:col>2</xdr:col>
      <xdr:colOff>77847</xdr:colOff>
      <xdr:row>1</xdr:row>
      <xdr:rowOff>1079657</xdr:rowOff>
    </xdr:to>
    <xdr:pic>
      <xdr:nvPicPr>
        <xdr:cNvPr id="9" name="logo name and accenture big">
          <a:extLst>
            <a:ext uri="{FF2B5EF4-FFF2-40B4-BE49-F238E27FC236}">
              <a16:creationId xmlns:a16="http://schemas.microsoft.com/office/drawing/2014/main" id="{8DE61B96-C24B-4013-A730-2E06E051E689}"/>
            </a:ext>
          </a:extLst>
        </xdr:cNvPr>
        <xdr:cNvPicPr>
          <a:picLocks noChangeAspect="1"/>
        </xdr:cNvPicPr>
      </xdr:nvPicPr>
      <xdr:blipFill rotWithShape="1">
        <a:blip xmlns:r="http://schemas.openxmlformats.org/officeDocument/2006/relationships" r:embed="rId4">
          <a:extLst>
            <a:ext uri="{96DAC541-7B7A-43D3-8B79-37D633B846F1}">
              <asvg:svgBlip xmlns:asvg="http://schemas.microsoft.com/office/drawing/2016/SVG/main" r:embed="rId5"/>
            </a:ext>
          </a:extLst>
        </a:blip>
        <a:srcRect l="6596" t="8260" r="7586" b="8584"/>
        <a:stretch/>
      </xdr:blipFill>
      <xdr:spPr>
        <a:xfrm>
          <a:off x="888999" y="296334"/>
          <a:ext cx="1059981" cy="10627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3342</xdr:colOff>
      <xdr:row>8</xdr:row>
      <xdr:rowOff>152401</xdr:rowOff>
    </xdr:from>
    <xdr:to>
      <xdr:col>13</xdr:col>
      <xdr:colOff>10771</xdr:colOff>
      <xdr:row>23</xdr:row>
      <xdr:rowOff>1</xdr:rowOff>
    </xdr:to>
    <xdr:graphicFrame macro="">
      <xdr:nvGraphicFramePr>
        <xdr:cNvPr id="17" name="Diagramm 16">
          <a:extLst>
            <a:ext uri="{FF2B5EF4-FFF2-40B4-BE49-F238E27FC236}">
              <a16:creationId xmlns:a16="http://schemas.microsoft.com/office/drawing/2014/main" id="{078F2BF4-1EB5-461A-86D2-F133FE0FD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34284</xdr:colOff>
      <xdr:row>0</xdr:row>
      <xdr:rowOff>120460</xdr:rowOff>
    </xdr:from>
    <xdr:to>
      <xdr:col>1</xdr:col>
      <xdr:colOff>645532</xdr:colOff>
      <xdr:row>5</xdr:row>
      <xdr:rowOff>255025</xdr:rowOff>
    </xdr:to>
    <xdr:pic>
      <xdr:nvPicPr>
        <xdr:cNvPr id="12" name="logo name and accenture big">
          <a:extLst>
            <a:ext uri="{FF2B5EF4-FFF2-40B4-BE49-F238E27FC236}">
              <a16:creationId xmlns:a16="http://schemas.microsoft.com/office/drawing/2014/main" id="{E6C83E2A-6B86-45A9-84D3-15179C667550}"/>
            </a:ext>
          </a:extLst>
        </xdr:cNvPr>
        <xdr:cNvPicPr>
          <a:picLocks noChangeAspect="1"/>
        </xdr:cNvPicPr>
      </xdr:nvPicPr>
      <xdr:blipFill rotWithShape="1">
        <a:blip xmlns:r="http://schemas.openxmlformats.org/officeDocument/2006/relationships" r:embed="rId2">
          <a:extLst>
            <a:ext uri="{96DAC541-7B7A-43D3-8B79-37D633B846F1}">
              <asvg:svgBlip xmlns:asvg="http://schemas.microsoft.com/office/drawing/2016/SVG/main" r:embed="rId3"/>
            </a:ext>
          </a:extLst>
        </a:blip>
        <a:srcRect l="6596" t="8260" r="7586" b="8584"/>
        <a:stretch/>
      </xdr:blipFill>
      <xdr:spPr>
        <a:xfrm>
          <a:off x="34284" y="120460"/>
          <a:ext cx="1087498" cy="1083890"/>
        </a:xfrm>
        <a:prstGeom prst="rect">
          <a:avLst/>
        </a:prstGeom>
      </xdr:spPr>
    </xdr:pic>
    <xdr:clientData/>
  </xdr:twoCellAnchor>
  <xdr:twoCellAnchor>
    <xdr:from>
      <xdr:col>5</xdr:col>
      <xdr:colOff>707572</xdr:colOff>
      <xdr:row>0</xdr:row>
      <xdr:rowOff>46228</xdr:rowOff>
    </xdr:from>
    <xdr:to>
      <xdr:col>14</xdr:col>
      <xdr:colOff>1358596</xdr:colOff>
      <xdr:row>6</xdr:row>
      <xdr:rowOff>56207</xdr:rowOff>
    </xdr:to>
    <xdr:sp macro="" textlink="">
      <xdr:nvSpPr>
        <xdr:cNvPr id="4" name="Textfeld 3">
          <a:extLst>
            <a:ext uri="{FF2B5EF4-FFF2-40B4-BE49-F238E27FC236}">
              <a16:creationId xmlns:a16="http://schemas.microsoft.com/office/drawing/2014/main" id="{1212B42B-6F6F-4C08-B811-33691767CADE}"/>
            </a:ext>
          </a:extLst>
        </xdr:cNvPr>
        <xdr:cNvSpPr txBox="1"/>
      </xdr:nvSpPr>
      <xdr:spPr>
        <a:xfrm>
          <a:off x="3578679" y="46228"/>
          <a:ext cx="7958060" cy="1166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2800" b="1"/>
            <a:t>LCOH Calculation Tool </a:t>
          </a:r>
        </a:p>
      </xdr:txBody>
    </xdr:sp>
    <xdr:clientData/>
  </xdr:twoCellAnchor>
  <xdr:twoCellAnchor>
    <xdr:from>
      <xdr:col>8</xdr:col>
      <xdr:colOff>4538</xdr:colOff>
      <xdr:row>23</xdr:row>
      <xdr:rowOff>115212</xdr:rowOff>
    </xdr:from>
    <xdr:to>
      <xdr:col>21</xdr:col>
      <xdr:colOff>5532</xdr:colOff>
      <xdr:row>25</xdr:row>
      <xdr:rowOff>71734</xdr:rowOff>
    </xdr:to>
    <xdr:sp macro="" textlink="">
      <xdr:nvSpPr>
        <xdr:cNvPr id="14" name="Textfeld 13">
          <a:extLst>
            <a:ext uri="{FF2B5EF4-FFF2-40B4-BE49-F238E27FC236}">
              <a16:creationId xmlns:a16="http://schemas.microsoft.com/office/drawing/2014/main" id="{019E1417-E3F1-4688-BEC5-6F8E650D859C}"/>
            </a:ext>
          </a:extLst>
        </xdr:cNvPr>
        <xdr:cNvSpPr txBox="1"/>
      </xdr:nvSpPr>
      <xdr:spPr>
        <a:xfrm>
          <a:off x="5875048" y="4702763"/>
          <a:ext cx="10873749" cy="319379"/>
        </a:xfrm>
        <a:prstGeom prst="rect">
          <a:avLst/>
        </a:prstGeom>
        <a:solidFill>
          <a:srgbClr val="617494"/>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b="1">
              <a:solidFill>
                <a:schemeClr val="bg1"/>
              </a:solidFill>
            </a:rPr>
            <a:t>Major cost drivers LCOH</a:t>
          </a:r>
        </a:p>
      </xdr:txBody>
    </xdr:sp>
    <xdr:clientData/>
  </xdr:twoCellAnchor>
  <xdr:twoCellAnchor>
    <xdr:from>
      <xdr:col>13</xdr:col>
      <xdr:colOff>243975</xdr:colOff>
      <xdr:row>16</xdr:row>
      <xdr:rowOff>16200</xdr:rowOff>
    </xdr:from>
    <xdr:to>
      <xdr:col>17</xdr:col>
      <xdr:colOff>3485</xdr:colOff>
      <xdr:row>23</xdr:row>
      <xdr:rowOff>7128</xdr:rowOff>
    </xdr:to>
    <xdr:sp macro="" textlink="">
      <xdr:nvSpPr>
        <xdr:cNvPr id="35" name="Rechteck 34">
          <a:extLst>
            <a:ext uri="{FF2B5EF4-FFF2-40B4-BE49-F238E27FC236}">
              <a16:creationId xmlns:a16="http://schemas.microsoft.com/office/drawing/2014/main" id="{DBC0F9E5-0CD5-471C-9497-0F1C1E002FAD}"/>
            </a:ext>
          </a:extLst>
        </xdr:cNvPr>
        <xdr:cNvSpPr/>
      </xdr:nvSpPr>
      <xdr:spPr>
        <a:xfrm>
          <a:off x="10062781" y="3323887"/>
          <a:ext cx="3578988" cy="1251450"/>
        </a:xfrm>
        <a:prstGeom prst="rect">
          <a:avLst/>
        </a:prstGeom>
        <a:solidFill>
          <a:srgbClr val="E3E4E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13</xdr:col>
      <xdr:colOff>246081</xdr:colOff>
      <xdr:row>7</xdr:row>
      <xdr:rowOff>3490</xdr:rowOff>
    </xdr:from>
    <xdr:to>
      <xdr:col>21</xdr:col>
      <xdr:colOff>4884</xdr:colOff>
      <xdr:row>21</xdr:row>
      <xdr:rowOff>180683</xdr:rowOff>
    </xdr:to>
    <xdr:graphicFrame macro="">
      <xdr:nvGraphicFramePr>
        <xdr:cNvPr id="25" name="Diagramm 24">
          <a:extLst>
            <a:ext uri="{FF2B5EF4-FFF2-40B4-BE49-F238E27FC236}">
              <a16:creationId xmlns:a16="http://schemas.microsoft.com/office/drawing/2014/main" id="{FF33033F-F99F-4C47-9F20-8D0BF0BC6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244153</xdr:colOff>
      <xdr:row>25</xdr:row>
      <xdr:rowOff>72393</xdr:rowOff>
    </xdr:from>
    <xdr:to>
      <xdr:col>21</xdr:col>
      <xdr:colOff>3437</xdr:colOff>
      <xdr:row>40</xdr:row>
      <xdr:rowOff>18143</xdr:rowOff>
    </xdr:to>
    <xdr:graphicFrame macro="">
      <xdr:nvGraphicFramePr>
        <xdr:cNvPr id="36" name="Chart 26">
          <a:extLst>
            <a:ext uri="{FF2B5EF4-FFF2-40B4-BE49-F238E27FC236}">
              <a16:creationId xmlns:a16="http://schemas.microsoft.com/office/drawing/2014/main" id="{34DB152B-89FD-4CC5-A581-A15485935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115461</xdr:colOff>
      <xdr:row>1</xdr:row>
      <xdr:rowOff>98589</xdr:rowOff>
    </xdr:from>
    <xdr:to>
      <xdr:col>20</xdr:col>
      <xdr:colOff>430509</xdr:colOff>
      <xdr:row>5</xdr:row>
      <xdr:rowOff>0</xdr:rowOff>
    </xdr:to>
    <xdr:grpSp>
      <xdr:nvGrpSpPr>
        <xdr:cNvPr id="5" name="Gruppieren 4">
          <a:extLst>
            <a:ext uri="{FF2B5EF4-FFF2-40B4-BE49-F238E27FC236}">
              <a16:creationId xmlns:a16="http://schemas.microsoft.com/office/drawing/2014/main" id="{0E12C22D-1643-4560-98ED-5DE5AC148237}"/>
            </a:ext>
          </a:extLst>
        </xdr:cNvPr>
        <xdr:cNvGrpSpPr/>
      </xdr:nvGrpSpPr>
      <xdr:grpSpPr>
        <a:xfrm>
          <a:off x="12412236" y="279564"/>
          <a:ext cx="3363048" cy="625311"/>
          <a:chOff x="12791459" y="151437"/>
          <a:chExt cx="4029224" cy="828209"/>
        </a:xfrm>
      </xdr:grpSpPr>
      <xdr:pic>
        <xdr:nvPicPr>
          <xdr:cNvPr id="9" name="Grafik 8">
            <a:extLst>
              <a:ext uri="{FF2B5EF4-FFF2-40B4-BE49-F238E27FC236}">
                <a16:creationId xmlns:a16="http://schemas.microsoft.com/office/drawing/2014/main" id="{33AB1966-F986-48E1-99E7-7C44F055FBC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12791459" y="151437"/>
            <a:ext cx="1918204" cy="828209"/>
          </a:xfrm>
          <a:prstGeom prst="rect">
            <a:avLst/>
          </a:prstGeom>
          <a:noFill/>
          <a:ln>
            <a:noFill/>
          </a:ln>
        </xdr:spPr>
      </xdr:pic>
      <xdr:pic>
        <xdr:nvPicPr>
          <xdr:cNvPr id="26" name="Grafik 25">
            <a:extLst>
              <a:ext uri="{FF2B5EF4-FFF2-40B4-BE49-F238E27FC236}">
                <a16:creationId xmlns:a16="http://schemas.microsoft.com/office/drawing/2014/main" id="{B1CF8582-169E-A513-0338-034371CFD79C}"/>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14901883" y="151541"/>
            <a:ext cx="1918800" cy="828000"/>
          </a:xfrm>
          <a:prstGeom prst="rect">
            <a:avLst/>
          </a:prstGeom>
        </xdr:spPr>
      </xdr:pic>
    </xdr:grpSp>
    <xdr:clientData/>
  </xdr:twoCellAnchor>
  <xdr:twoCellAnchor>
    <xdr:from>
      <xdr:col>1</xdr:col>
      <xdr:colOff>365651</xdr:colOff>
      <xdr:row>7</xdr:row>
      <xdr:rowOff>18538</xdr:rowOff>
    </xdr:from>
    <xdr:to>
      <xdr:col>3</xdr:col>
      <xdr:colOff>499039</xdr:colOff>
      <xdr:row>7</xdr:row>
      <xdr:rowOff>287446</xdr:rowOff>
    </xdr:to>
    <xdr:grpSp>
      <xdr:nvGrpSpPr>
        <xdr:cNvPr id="15" name="Gruppieren 14">
          <a:extLst>
            <a:ext uri="{FF2B5EF4-FFF2-40B4-BE49-F238E27FC236}">
              <a16:creationId xmlns:a16="http://schemas.microsoft.com/office/drawing/2014/main" id="{38D5841E-7633-4EF3-9917-889669F30379}"/>
            </a:ext>
          </a:extLst>
        </xdr:cNvPr>
        <xdr:cNvGrpSpPr/>
      </xdr:nvGrpSpPr>
      <xdr:grpSpPr>
        <a:xfrm>
          <a:off x="794276" y="1523488"/>
          <a:ext cx="1657388" cy="268908"/>
          <a:chOff x="175158" y="1316659"/>
          <a:chExt cx="1655574" cy="268908"/>
        </a:xfrm>
      </xdr:grpSpPr>
      <xdr:sp macro="" textlink="">
        <xdr:nvSpPr>
          <xdr:cNvPr id="6" name="Rechteck 5">
            <a:extLst>
              <a:ext uri="{FF2B5EF4-FFF2-40B4-BE49-F238E27FC236}">
                <a16:creationId xmlns:a16="http://schemas.microsoft.com/office/drawing/2014/main" id="{9BD89178-BC3F-49CC-9D32-7960E7023940}"/>
              </a:ext>
            </a:extLst>
          </xdr:cNvPr>
          <xdr:cNvSpPr/>
        </xdr:nvSpPr>
        <xdr:spPr>
          <a:xfrm>
            <a:off x="175158" y="1362745"/>
            <a:ext cx="834572" cy="176737"/>
          </a:xfrm>
          <a:prstGeom prst="rect">
            <a:avLst/>
          </a:prstGeom>
          <a:solidFill>
            <a:schemeClr val="bg1">
              <a:lumMod val="8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0" name="Textfeld 9">
            <a:extLst>
              <a:ext uri="{FF2B5EF4-FFF2-40B4-BE49-F238E27FC236}">
                <a16:creationId xmlns:a16="http://schemas.microsoft.com/office/drawing/2014/main" id="{FC39AE2E-3819-4C71-84E9-F5AC57832FEF}"/>
              </a:ext>
            </a:extLst>
          </xdr:cNvPr>
          <xdr:cNvSpPr txBox="1"/>
        </xdr:nvSpPr>
        <xdr:spPr>
          <a:xfrm>
            <a:off x="1007993" y="1316659"/>
            <a:ext cx="822739" cy="268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User</a:t>
            </a:r>
            <a:r>
              <a:rPr lang="de-DE" sz="1100" baseline="0"/>
              <a:t> input</a:t>
            </a:r>
            <a:endParaRPr lang="de-DE" sz="1100"/>
          </a:p>
        </xdr:txBody>
      </xdr:sp>
    </xdr:grpSp>
    <xdr:clientData/>
  </xdr:twoCellAnchor>
  <xdr:twoCellAnchor>
    <xdr:from>
      <xdr:col>5</xdr:col>
      <xdr:colOff>45355</xdr:colOff>
      <xdr:row>7</xdr:row>
      <xdr:rowOff>19505</xdr:rowOff>
    </xdr:from>
    <xdr:to>
      <xdr:col>6</xdr:col>
      <xdr:colOff>1532945</xdr:colOff>
      <xdr:row>7</xdr:row>
      <xdr:rowOff>286480</xdr:rowOff>
    </xdr:to>
    <xdr:grpSp>
      <xdr:nvGrpSpPr>
        <xdr:cNvPr id="11" name="Gruppieren 10">
          <a:extLst>
            <a:ext uri="{FF2B5EF4-FFF2-40B4-BE49-F238E27FC236}">
              <a16:creationId xmlns:a16="http://schemas.microsoft.com/office/drawing/2014/main" id="{61160A87-3A48-406C-AB6B-C9C8D3359739}"/>
            </a:ext>
          </a:extLst>
        </xdr:cNvPr>
        <xdr:cNvGrpSpPr/>
      </xdr:nvGrpSpPr>
      <xdr:grpSpPr>
        <a:xfrm>
          <a:off x="2893330" y="1524455"/>
          <a:ext cx="2287690" cy="266975"/>
          <a:chOff x="2566308" y="1309205"/>
          <a:chExt cx="2321259" cy="266975"/>
        </a:xfrm>
      </xdr:grpSpPr>
      <xdr:sp macro="" textlink="">
        <xdr:nvSpPr>
          <xdr:cNvPr id="37" name="Rechteck 36">
            <a:extLst>
              <a:ext uri="{FF2B5EF4-FFF2-40B4-BE49-F238E27FC236}">
                <a16:creationId xmlns:a16="http://schemas.microsoft.com/office/drawing/2014/main" id="{026CF954-E3D2-4D86-9353-698FAF2C7A36}"/>
              </a:ext>
            </a:extLst>
          </xdr:cNvPr>
          <xdr:cNvSpPr/>
        </xdr:nvSpPr>
        <xdr:spPr>
          <a:xfrm>
            <a:off x="2566308" y="1354324"/>
            <a:ext cx="834572" cy="176737"/>
          </a:xfrm>
          <a:prstGeom prst="rect">
            <a:avLst/>
          </a:prstGeom>
          <a:solidFill>
            <a:schemeClr val="bg1">
              <a:lumMod val="6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38" name="Textfeld 37">
            <a:extLst>
              <a:ext uri="{FF2B5EF4-FFF2-40B4-BE49-F238E27FC236}">
                <a16:creationId xmlns:a16="http://schemas.microsoft.com/office/drawing/2014/main" id="{3A604EE3-2F38-4D51-98D1-BDA931AB5BEA}"/>
              </a:ext>
            </a:extLst>
          </xdr:cNvPr>
          <xdr:cNvSpPr txBox="1"/>
        </xdr:nvSpPr>
        <xdr:spPr>
          <a:xfrm>
            <a:off x="3411054" y="1309205"/>
            <a:ext cx="1476513" cy="266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Automatic calculation</a:t>
            </a:r>
          </a:p>
        </xdr:txBody>
      </xdr:sp>
    </xdr:grpSp>
    <xdr:clientData/>
  </xdr:twoCellAnchor>
  <xdr:twoCellAnchor>
    <xdr:from>
      <xdr:col>7</xdr:col>
      <xdr:colOff>244154</xdr:colOff>
      <xdr:row>7</xdr:row>
      <xdr:rowOff>151561</xdr:rowOff>
    </xdr:from>
    <xdr:to>
      <xdr:col>13</xdr:col>
      <xdr:colOff>11908</xdr:colOff>
      <xdr:row>8</xdr:row>
      <xdr:rowOff>150235</xdr:rowOff>
    </xdr:to>
    <xdr:sp macro="" textlink="">
      <xdr:nvSpPr>
        <xdr:cNvPr id="7" name="Textfeld 6">
          <a:extLst>
            <a:ext uri="{FF2B5EF4-FFF2-40B4-BE49-F238E27FC236}">
              <a16:creationId xmlns:a16="http://schemas.microsoft.com/office/drawing/2014/main" id="{F24A6459-A8C9-44CF-9A41-998543CC6153}"/>
            </a:ext>
          </a:extLst>
        </xdr:cNvPr>
        <xdr:cNvSpPr txBox="1"/>
      </xdr:nvSpPr>
      <xdr:spPr>
        <a:xfrm>
          <a:off x="5867873" y="1659686"/>
          <a:ext cx="3823816" cy="336018"/>
        </a:xfrm>
        <a:prstGeom prst="rect">
          <a:avLst/>
        </a:prstGeom>
        <a:solidFill>
          <a:srgbClr val="617494"/>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b="1">
              <a:solidFill>
                <a:schemeClr val="bg1"/>
              </a:solidFill>
            </a:rPr>
            <a:t>Total shares of the main LCOH</a:t>
          </a:r>
          <a:r>
            <a:rPr lang="de-DE" sz="1600" b="1" baseline="0">
              <a:solidFill>
                <a:schemeClr val="bg1"/>
              </a:solidFill>
            </a:rPr>
            <a:t> costs</a:t>
          </a:r>
          <a:endParaRPr lang="de-DE" sz="1600" b="1">
            <a:solidFill>
              <a:schemeClr val="bg1"/>
            </a:solidFill>
          </a:endParaRPr>
        </a:p>
      </xdr:txBody>
    </xdr:sp>
    <xdr:clientData/>
  </xdr:twoCellAnchor>
  <xdr:twoCellAnchor>
    <xdr:from>
      <xdr:col>13</xdr:col>
      <xdr:colOff>246081</xdr:colOff>
      <xdr:row>6</xdr:row>
      <xdr:rowOff>315</xdr:rowOff>
    </xdr:from>
    <xdr:to>
      <xdr:col>21</xdr:col>
      <xdr:colOff>4884</xdr:colOff>
      <xdr:row>7</xdr:row>
      <xdr:rowOff>9386</xdr:rowOff>
    </xdr:to>
    <xdr:sp macro="" textlink="">
      <xdr:nvSpPr>
        <xdr:cNvPr id="13" name="Textfeld 12">
          <a:extLst>
            <a:ext uri="{FF2B5EF4-FFF2-40B4-BE49-F238E27FC236}">
              <a16:creationId xmlns:a16="http://schemas.microsoft.com/office/drawing/2014/main" id="{0311C5DA-FF31-43FB-AACE-8824B046D446}"/>
            </a:ext>
          </a:extLst>
        </xdr:cNvPr>
        <xdr:cNvSpPr txBox="1"/>
      </xdr:nvSpPr>
      <xdr:spPr>
        <a:xfrm>
          <a:off x="10453706" y="1222690"/>
          <a:ext cx="5854803" cy="342446"/>
        </a:xfrm>
        <a:prstGeom prst="rect">
          <a:avLst/>
        </a:prstGeom>
        <a:solidFill>
          <a:srgbClr val="617494"/>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b="1">
              <a:solidFill>
                <a:schemeClr val="bg1"/>
              </a:solidFill>
            </a:rPr>
            <a:t>Sensitivities of the costs shares</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123825</xdr:colOff>
      <xdr:row>0</xdr:row>
      <xdr:rowOff>114300</xdr:rowOff>
    </xdr:from>
    <xdr:ext cx="12668250" cy="9600449"/>
    <xdr:sp macro="" textlink="">
      <xdr:nvSpPr>
        <xdr:cNvPr id="2" name="Textfeld 1">
          <a:extLst>
            <a:ext uri="{FF2B5EF4-FFF2-40B4-BE49-F238E27FC236}">
              <a16:creationId xmlns:a16="http://schemas.microsoft.com/office/drawing/2014/main" id="{9415ED2A-975E-4B4B-901C-C366CC9A267D}"/>
            </a:ext>
          </a:extLst>
        </xdr:cNvPr>
        <xdr:cNvSpPr txBox="1"/>
      </xdr:nvSpPr>
      <xdr:spPr>
        <a:xfrm>
          <a:off x="123825" y="114300"/>
          <a:ext cx="12668250" cy="96004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nSpc>
              <a:spcPts val="1430"/>
            </a:lnSpc>
            <a:spcAft>
              <a:spcPts val="1430"/>
            </a:spcAft>
          </a:pPr>
          <a:r>
            <a:rPr lang="en-US" sz="1100" b="1">
              <a:effectLst/>
              <a:latin typeface="Brix Slab Light"/>
              <a:ea typeface="Brix Slab Light"/>
              <a:cs typeface="Times New Roman" panose="02020603050405020304" pitchFamily="18" charset="0"/>
            </a:rPr>
            <a:t>This calculation</a:t>
          </a:r>
          <a:r>
            <a:rPr lang="en-US" sz="1100" b="1" baseline="0">
              <a:effectLst/>
              <a:latin typeface="Brix Slab Light"/>
              <a:ea typeface="Brix Slab Light"/>
              <a:cs typeface="Times New Roman" panose="02020603050405020304" pitchFamily="18" charset="0"/>
            </a:rPr>
            <a:t> tool may include especially suggestions for data input based on:</a:t>
          </a:r>
        </a:p>
        <a:p>
          <a:pPr>
            <a:lnSpc>
              <a:spcPts val="1430"/>
            </a:lnSpc>
            <a:spcAft>
              <a:spcPts val="1430"/>
            </a:spcAft>
          </a:pPr>
          <a:endParaRPr lang="en-US" sz="1100" b="1">
            <a:effectLst/>
            <a:latin typeface="Brix Slab Light"/>
            <a:ea typeface="Brix Slab Light"/>
            <a:cs typeface="Times New Roman" panose="02020603050405020304" pitchFamily="18" charset="0"/>
          </a:endParaRPr>
        </a:p>
        <a:p>
          <a:pPr>
            <a:lnSpc>
              <a:spcPts val="1430"/>
            </a:lnSpc>
            <a:spcAft>
              <a:spcPts val="1430"/>
            </a:spcAft>
          </a:pPr>
          <a:r>
            <a:rPr lang="en-US" sz="1100" b="1">
              <a:effectLst/>
              <a:latin typeface="Brix Slab Light"/>
              <a:ea typeface="Brix Slab Light"/>
              <a:cs typeface="Times New Roman" panose="02020603050405020304" pitchFamily="18" charset="0"/>
            </a:rPr>
            <a:t>IEA (2021): </a:t>
          </a:r>
          <a:r>
            <a:rPr lang="en-US" sz="1100" i="1">
              <a:effectLst/>
              <a:latin typeface="Brix Slab Light"/>
              <a:ea typeface="Brix Slab Light"/>
              <a:cs typeface="Times New Roman" panose="02020603050405020304" pitchFamily="18" charset="0"/>
            </a:rPr>
            <a:t>Global hydrogen review 2021</a:t>
          </a:r>
          <a:r>
            <a:rPr lang="en-US" sz="1100">
              <a:effectLst/>
              <a:latin typeface="Brix Slab Light"/>
              <a:ea typeface="Brix Slab Light"/>
              <a:cs typeface="Times New Roman" panose="02020603050405020304" pitchFamily="18" charset="0"/>
            </a:rPr>
            <a:t>.</a:t>
          </a:r>
        </a:p>
        <a:p>
          <a:pPr>
            <a:lnSpc>
              <a:spcPts val="1430"/>
            </a:lnSpc>
            <a:spcAft>
              <a:spcPts val="1430"/>
            </a:spcAft>
          </a:pPr>
          <a:r>
            <a:rPr lang="en-US" sz="1100">
              <a:effectLst/>
              <a:latin typeface="Brix Slab Light"/>
              <a:ea typeface="Brix Slab Light"/>
              <a:cs typeface="Times New Roman" panose="02020603050405020304" pitchFamily="18" charset="0"/>
            </a:rPr>
            <a:t>URL: https://iea.blob.core.windows.net/assets/3a2ed84c-9ea0-458c-9421-d166a9510bc0/GlobalHydrogenReview2021.pdf</a:t>
          </a:r>
        </a:p>
        <a:p>
          <a:pPr>
            <a:lnSpc>
              <a:spcPts val="1430"/>
            </a:lnSpc>
            <a:spcAft>
              <a:spcPts val="1430"/>
            </a:spcAft>
          </a:pPr>
          <a:r>
            <a:rPr lang="en-US" sz="1100">
              <a:effectLst/>
              <a:latin typeface="Brix Slab Light"/>
              <a:ea typeface="Brix Slab Light"/>
              <a:cs typeface="Times New Roman" panose="02020603050405020304" pitchFamily="18" charset="0"/>
            </a:rPr>
            <a:t>URL: https://iea.blob.core.windows.net/assets/2ceb17b8-474f-4154-aab5-4d898f735c17/IEAGHRassumptions_final.pdf</a:t>
          </a:r>
        </a:p>
        <a:p>
          <a:pPr>
            <a:lnSpc>
              <a:spcPts val="1430"/>
            </a:lnSpc>
            <a:spcAft>
              <a:spcPts val="1430"/>
            </a:spcAft>
          </a:pPr>
          <a:r>
            <a:rPr lang="en-US" sz="1100" b="1">
              <a:effectLst/>
              <a:latin typeface="Brix Slab Light"/>
              <a:ea typeface="Brix Slab Light"/>
              <a:cs typeface="Times New Roman" panose="02020603050405020304" pitchFamily="18" charset="0"/>
            </a:rPr>
            <a:t>IRENA (2020):</a:t>
          </a:r>
          <a:r>
            <a:rPr lang="en-US" sz="1100">
              <a:effectLst/>
              <a:latin typeface="Brix Slab Light"/>
              <a:ea typeface="Brix Slab Light"/>
              <a:cs typeface="Times New Roman" panose="02020603050405020304" pitchFamily="18" charset="0"/>
            </a:rPr>
            <a:t> </a:t>
          </a:r>
          <a:r>
            <a:rPr lang="en-US" sz="1100" i="1">
              <a:effectLst/>
              <a:latin typeface="Brix Slab Light"/>
              <a:ea typeface="Brix Slab Light"/>
              <a:cs typeface="Times New Roman" panose="02020603050405020304" pitchFamily="18" charset="0"/>
            </a:rPr>
            <a:t>Green hydrogen cost reduction: Scaling up electrolysers to meet the 1.5°C climate goal</a:t>
          </a:r>
          <a:r>
            <a:rPr lang="en-US" sz="1100">
              <a:effectLst/>
              <a:latin typeface="Brix Slab Light"/>
              <a:ea typeface="Brix Slab Light"/>
              <a:cs typeface="Times New Roman" panose="02020603050405020304" pitchFamily="18" charset="0"/>
            </a:rPr>
            <a:t>. Abu Dhabi. </a:t>
          </a:r>
        </a:p>
        <a:p>
          <a:pPr>
            <a:lnSpc>
              <a:spcPts val="1430"/>
            </a:lnSpc>
            <a:spcAft>
              <a:spcPts val="1430"/>
            </a:spcAft>
          </a:pPr>
          <a:r>
            <a:rPr lang="en-US" sz="1100">
              <a:effectLst/>
              <a:latin typeface="Brix Slab Light"/>
              <a:ea typeface="Brix Slab Light"/>
              <a:cs typeface="Times New Roman" panose="02020603050405020304" pitchFamily="18" charset="0"/>
            </a:rPr>
            <a:t>URL: https://irena.org/-/media/Files/IRENA/Agency/Publication/2020/Dec/IRENA_Green_hydrogen_cost_2020.pdf</a:t>
          </a:r>
        </a:p>
        <a:p>
          <a:pPr>
            <a:lnSpc>
              <a:spcPts val="1430"/>
            </a:lnSpc>
            <a:spcAft>
              <a:spcPts val="1430"/>
            </a:spcAft>
          </a:pPr>
          <a:r>
            <a:rPr lang="en-US" sz="1100" b="1">
              <a:effectLst/>
              <a:latin typeface="Brix Slab Light"/>
              <a:ea typeface="Brix Slab Light"/>
              <a:cs typeface="Times New Roman" panose="02020603050405020304" pitchFamily="18" charset="0"/>
            </a:rPr>
            <a:t>Gas for Climate (2020):</a:t>
          </a:r>
          <a:r>
            <a:rPr lang="en-US" sz="1100">
              <a:effectLst/>
              <a:latin typeface="Brix Slab Light"/>
              <a:ea typeface="Brix Slab Light"/>
              <a:cs typeface="Times New Roman" panose="02020603050405020304" pitchFamily="18" charset="0"/>
            </a:rPr>
            <a:t> </a:t>
          </a:r>
          <a:r>
            <a:rPr lang="en-US" sz="1100" i="1">
              <a:effectLst/>
              <a:latin typeface="Brix Slab Light"/>
              <a:ea typeface="Brix Slab Light"/>
              <a:cs typeface="Times New Roman" panose="02020603050405020304" pitchFamily="18" charset="0"/>
            </a:rPr>
            <a:t>Market state and trends in renewable and low-carbon gases in Europe</a:t>
          </a:r>
          <a:r>
            <a:rPr lang="en-US" sz="1100">
              <a:effectLst/>
              <a:latin typeface="Brix Slab Light"/>
              <a:ea typeface="Brix Slab Light"/>
              <a:cs typeface="Times New Roman" panose="02020603050405020304" pitchFamily="18" charset="0"/>
            </a:rPr>
            <a:t>. </a:t>
          </a:r>
        </a:p>
        <a:p>
          <a:pPr>
            <a:lnSpc>
              <a:spcPts val="1430"/>
            </a:lnSpc>
            <a:spcAft>
              <a:spcPts val="1430"/>
            </a:spcAft>
          </a:pPr>
          <a:r>
            <a:rPr lang="en-US" sz="1100">
              <a:effectLst/>
              <a:latin typeface="Brix Slab Light"/>
              <a:ea typeface="Brix Slab Light"/>
              <a:cs typeface="Times New Roman" panose="02020603050405020304" pitchFamily="18" charset="0"/>
            </a:rPr>
            <a:t>URL: https://gasforclimate2050.eu/?smd_process_download=1&amp;download_id=546</a:t>
          </a:r>
        </a:p>
        <a:p>
          <a:pPr>
            <a:lnSpc>
              <a:spcPts val="1430"/>
            </a:lnSpc>
            <a:spcAft>
              <a:spcPts val="1430"/>
            </a:spcAft>
          </a:pPr>
          <a:r>
            <a:rPr lang="en-US" sz="1100" b="1">
              <a:effectLst/>
              <a:latin typeface="Brix Slab Light"/>
              <a:ea typeface="Brix Slab Light"/>
              <a:cs typeface="Times New Roman" panose="02020603050405020304" pitchFamily="18" charset="0"/>
            </a:rPr>
            <a:t>Gas for Climate (2021):</a:t>
          </a:r>
          <a:r>
            <a:rPr lang="en-US" sz="1100">
              <a:effectLst/>
              <a:latin typeface="Brix Slab Light"/>
              <a:ea typeface="Brix Slab Light"/>
              <a:cs typeface="Times New Roman" panose="02020603050405020304" pitchFamily="18" charset="0"/>
            </a:rPr>
            <a:t> </a:t>
          </a:r>
          <a:r>
            <a:rPr lang="en-US" sz="1100" i="1">
              <a:effectLst/>
              <a:latin typeface="Brix Slab Light"/>
              <a:ea typeface="Brix Slab Light"/>
              <a:cs typeface="Times New Roman" panose="02020603050405020304" pitchFamily="18" charset="0"/>
            </a:rPr>
            <a:t>Market state and trends in renewable and low-carbon gases in Europe</a:t>
          </a:r>
          <a:r>
            <a:rPr lang="en-US" sz="1100">
              <a:effectLst/>
              <a:latin typeface="Brix Slab Light"/>
              <a:ea typeface="Brix Slab Light"/>
              <a:cs typeface="Times New Roman" panose="02020603050405020304" pitchFamily="18" charset="0"/>
            </a:rPr>
            <a:t>. </a:t>
          </a:r>
        </a:p>
        <a:p>
          <a:pPr>
            <a:lnSpc>
              <a:spcPts val="1430"/>
            </a:lnSpc>
            <a:spcAft>
              <a:spcPts val="1430"/>
            </a:spcAft>
          </a:pPr>
          <a:r>
            <a:rPr lang="en-US" sz="1100">
              <a:effectLst/>
              <a:latin typeface="Brix Slab Light"/>
              <a:ea typeface="Brix Slab Light"/>
              <a:cs typeface="Times New Roman" panose="02020603050405020304" pitchFamily="18" charset="0"/>
            </a:rPr>
            <a:t>URL: https://www.europeanbiogas.eu/wp-content/uploads/2021/12/Gas-for-Climate-Market-State-and-Trends-report-2021.pdf</a:t>
          </a:r>
        </a:p>
        <a:p>
          <a:pPr>
            <a:lnSpc>
              <a:spcPts val="1430"/>
            </a:lnSpc>
            <a:spcAft>
              <a:spcPts val="1430"/>
            </a:spcAft>
          </a:pPr>
          <a:r>
            <a:rPr lang="de-DE" sz="1100" b="1">
              <a:effectLst/>
              <a:latin typeface="Brix Slab Light"/>
              <a:ea typeface="Brix Slab Light"/>
              <a:cs typeface="Times New Roman" panose="02020603050405020304" pitchFamily="18" charset="0"/>
            </a:rPr>
            <a:t>Prognos (2020):</a:t>
          </a:r>
          <a:r>
            <a:rPr lang="de-DE" sz="1100">
              <a:effectLst/>
              <a:latin typeface="Brix Slab Light"/>
              <a:ea typeface="Brix Slab Light"/>
              <a:cs typeface="Times New Roman" panose="02020603050405020304" pitchFamily="18" charset="0"/>
            </a:rPr>
            <a:t> </a:t>
          </a:r>
          <a:r>
            <a:rPr lang="de-DE" sz="1100" i="1">
              <a:effectLst/>
              <a:latin typeface="Brix Slab Light"/>
              <a:ea typeface="Brix Slab Light"/>
              <a:cs typeface="Times New Roman" panose="02020603050405020304" pitchFamily="18" charset="0"/>
            </a:rPr>
            <a:t>Kosten und Transformationspfade für strombasierte Energieträger</a:t>
          </a:r>
          <a:r>
            <a:rPr lang="de-DE" sz="1100">
              <a:effectLst/>
              <a:latin typeface="Brix Slab Light"/>
              <a:ea typeface="Brix Slab Light"/>
              <a:cs typeface="Times New Roman" panose="02020603050405020304" pitchFamily="18" charset="0"/>
            </a:rPr>
            <a:t>. </a:t>
          </a:r>
          <a:endParaRPr lang="en-US" sz="1100">
            <a:effectLst/>
            <a:latin typeface="Brix Slab Light"/>
            <a:ea typeface="Brix Slab Light"/>
            <a:cs typeface="Times New Roman" panose="02020603050405020304" pitchFamily="18" charset="0"/>
          </a:endParaRPr>
        </a:p>
        <a:p>
          <a:pPr>
            <a:lnSpc>
              <a:spcPts val="1430"/>
            </a:lnSpc>
            <a:spcAft>
              <a:spcPts val="1430"/>
            </a:spcAft>
          </a:pPr>
          <a:r>
            <a:rPr lang="en-US" sz="1100">
              <a:effectLst/>
              <a:latin typeface="Brix Slab Light"/>
              <a:ea typeface="Brix Slab Light"/>
              <a:cs typeface="Times New Roman" panose="02020603050405020304" pitchFamily="18" charset="0"/>
            </a:rPr>
            <a:t>URL: https://www.bmwi.de/Redaktion/DE/Downloads/Studien/transformationspfade-fuer-strombasierte-energietraeger.pdf?__blob=publicationFile</a:t>
          </a:r>
        </a:p>
        <a:p>
          <a:pPr>
            <a:lnSpc>
              <a:spcPts val="1430"/>
            </a:lnSpc>
            <a:spcAft>
              <a:spcPts val="1430"/>
            </a:spcAft>
          </a:pPr>
          <a:r>
            <a:rPr lang="en-US" sz="1100" b="1">
              <a:effectLst/>
              <a:latin typeface="Brix Slab Light"/>
              <a:ea typeface="Brix Slab Light"/>
              <a:cs typeface="Times New Roman" panose="02020603050405020304" pitchFamily="18" charset="0"/>
            </a:rPr>
            <a:t>ISPT (2022):</a:t>
          </a:r>
          <a:r>
            <a:rPr lang="en-US" sz="1100">
              <a:effectLst/>
              <a:latin typeface="Brix Slab Light"/>
              <a:ea typeface="Brix Slab Light"/>
              <a:cs typeface="Times New Roman" panose="02020603050405020304" pitchFamily="18" charset="0"/>
            </a:rPr>
            <a:t> </a:t>
          </a:r>
          <a:r>
            <a:rPr lang="en-US" sz="1100" i="1">
              <a:effectLst/>
              <a:latin typeface="Brix Slab Light"/>
              <a:ea typeface="Brix Slab Light"/>
              <a:cs typeface="Times New Roman" panose="02020603050405020304" pitchFamily="18" charset="0"/>
            </a:rPr>
            <a:t>A One-GigaWatt Green-Hydrogen Plant. Advanced Design and Total Installed-Capital Costs</a:t>
          </a:r>
          <a:r>
            <a:rPr lang="en-US" sz="1100">
              <a:effectLst/>
              <a:latin typeface="Brix Slab Light"/>
              <a:ea typeface="Brix Slab Light"/>
              <a:cs typeface="Times New Roman" panose="02020603050405020304" pitchFamily="18" charset="0"/>
            </a:rPr>
            <a:t>.</a:t>
          </a:r>
        </a:p>
        <a:p>
          <a:pPr>
            <a:lnSpc>
              <a:spcPts val="1430"/>
            </a:lnSpc>
            <a:spcAft>
              <a:spcPts val="1430"/>
            </a:spcAft>
          </a:pPr>
          <a:r>
            <a:rPr lang="en-US" sz="1100">
              <a:effectLst/>
              <a:latin typeface="Brix Slab Light"/>
              <a:ea typeface="Brix Slab Light"/>
              <a:cs typeface="Times New Roman" panose="02020603050405020304" pitchFamily="18" charset="0"/>
            </a:rPr>
            <a:t>URL: https://ispt.eu/media/Public-report-gigawatt-advanced-green-electrolyser-design.pdf </a:t>
          </a:r>
        </a:p>
        <a:p>
          <a:pPr>
            <a:lnSpc>
              <a:spcPts val="1430"/>
            </a:lnSpc>
            <a:spcAft>
              <a:spcPts val="1430"/>
            </a:spcAft>
          </a:pPr>
          <a:r>
            <a:rPr lang="en-US" sz="1100" b="1">
              <a:effectLst/>
              <a:latin typeface="Brix Slab Light"/>
              <a:ea typeface="Brix Slab Light"/>
              <a:cs typeface="Times New Roman" panose="02020603050405020304" pitchFamily="18" charset="0"/>
            </a:rPr>
            <a:t>DNV (2022):</a:t>
          </a:r>
          <a:r>
            <a:rPr lang="en-US" sz="1100">
              <a:effectLst/>
              <a:latin typeface="Brix Slab Light"/>
              <a:ea typeface="Brix Slab Light"/>
              <a:cs typeface="Times New Roman" panose="02020603050405020304" pitchFamily="18" charset="0"/>
            </a:rPr>
            <a:t> </a:t>
          </a:r>
          <a:r>
            <a:rPr lang="en-US" sz="1100" i="1">
              <a:effectLst/>
              <a:latin typeface="Brix Slab Light"/>
              <a:ea typeface="Brix Slab Light"/>
              <a:cs typeface="Times New Roman" panose="02020603050405020304" pitchFamily="18" charset="0"/>
            </a:rPr>
            <a:t>Hydrogen Forecast to 2050. Energy Transition Outlook 2022</a:t>
          </a:r>
          <a:r>
            <a:rPr lang="en-US" sz="1100">
              <a:effectLst/>
              <a:latin typeface="Brix Slab Light"/>
              <a:ea typeface="Brix Slab Light"/>
              <a:cs typeface="Times New Roman" panose="02020603050405020304" pitchFamily="18" charset="0"/>
            </a:rPr>
            <a:t>. </a:t>
          </a:r>
        </a:p>
        <a:p>
          <a:pPr>
            <a:lnSpc>
              <a:spcPts val="1430"/>
            </a:lnSpc>
            <a:spcAft>
              <a:spcPts val="1430"/>
            </a:spcAft>
          </a:pPr>
          <a:r>
            <a:rPr lang="en-US" sz="1100">
              <a:effectLst/>
              <a:latin typeface="Brix Slab Light"/>
              <a:ea typeface="Brix Slab Light"/>
              <a:cs typeface="Times New Roman" panose="02020603050405020304" pitchFamily="18" charset="0"/>
            </a:rPr>
            <a:t>URL: https://www.dnv.com/focus-areas/hydrogen/forecast-to-2050.html</a:t>
          </a:r>
        </a:p>
        <a:p>
          <a:pPr>
            <a:lnSpc>
              <a:spcPts val="1430"/>
            </a:lnSpc>
            <a:spcAft>
              <a:spcPts val="1430"/>
            </a:spcAft>
          </a:pPr>
          <a:r>
            <a:rPr lang="de-DE" sz="1100" b="1">
              <a:effectLst/>
              <a:latin typeface="Brix Slab Light"/>
              <a:ea typeface="Brix Slab Light"/>
              <a:cs typeface="Times New Roman" panose="02020603050405020304" pitchFamily="18" charset="0"/>
            </a:rPr>
            <a:t>Hydrogen Europe (2021):</a:t>
          </a:r>
          <a:r>
            <a:rPr lang="de-DE" sz="1100">
              <a:effectLst/>
              <a:latin typeface="Brix Slab Light"/>
              <a:ea typeface="Brix Slab Light"/>
              <a:cs typeface="Times New Roman" panose="02020603050405020304" pitchFamily="18" charset="0"/>
            </a:rPr>
            <a:t> </a:t>
          </a:r>
          <a:r>
            <a:rPr lang="de-DE" sz="1100" i="1">
              <a:effectLst/>
              <a:latin typeface="Brix Slab Light"/>
              <a:ea typeface="Brix Slab Light"/>
              <a:cs typeface="Times New Roman" panose="02020603050405020304" pitchFamily="18" charset="0"/>
            </a:rPr>
            <a:t>Clean hydrogen monitor 2021</a:t>
          </a:r>
          <a:r>
            <a:rPr lang="de-DE" sz="1100">
              <a:effectLst/>
              <a:latin typeface="Brix Slab Light"/>
              <a:ea typeface="Brix Slab Light"/>
              <a:cs typeface="Times New Roman" panose="02020603050405020304" pitchFamily="18" charset="0"/>
            </a:rPr>
            <a:t>. </a:t>
          </a:r>
          <a:endParaRPr lang="en-US" sz="1100">
            <a:effectLst/>
            <a:latin typeface="Brix Slab Light"/>
            <a:ea typeface="Brix Slab Light"/>
            <a:cs typeface="Times New Roman" panose="02020603050405020304" pitchFamily="18" charset="0"/>
          </a:endParaRPr>
        </a:p>
        <a:p>
          <a:pPr>
            <a:lnSpc>
              <a:spcPts val="1430"/>
            </a:lnSpc>
            <a:spcAft>
              <a:spcPts val="1430"/>
            </a:spcAft>
          </a:pPr>
          <a:r>
            <a:rPr lang="en-US" sz="1100">
              <a:effectLst/>
              <a:latin typeface="Brix Slab Light"/>
              <a:ea typeface="Brix Slab Light"/>
              <a:cs typeface="Times New Roman" panose="02020603050405020304" pitchFamily="18" charset="0"/>
            </a:rPr>
            <a:t>URL: https://hydrogeneurope.eu/wp-content/uploads/2021/11/Clean-Hydrogen-Monitor-2020.pdf</a:t>
          </a:r>
        </a:p>
        <a:p>
          <a:pPr>
            <a:lnSpc>
              <a:spcPts val="1430"/>
            </a:lnSpc>
            <a:spcAft>
              <a:spcPts val="1430"/>
            </a:spcAft>
          </a:pPr>
          <a:r>
            <a:rPr lang="en-US" sz="1100" b="1">
              <a:effectLst/>
              <a:latin typeface="Brix Slab Light"/>
              <a:ea typeface="Brix Slab Light"/>
              <a:cs typeface="Times New Roman" panose="02020603050405020304" pitchFamily="18" charset="0"/>
            </a:rPr>
            <a:t>NREL (2019):</a:t>
          </a:r>
          <a:r>
            <a:rPr lang="en-US" sz="1100">
              <a:effectLst/>
              <a:latin typeface="Brix Slab Light"/>
              <a:ea typeface="Brix Slab Light"/>
              <a:cs typeface="Times New Roman" panose="02020603050405020304" pitchFamily="18" charset="0"/>
            </a:rPr>
            <a:t> </a:t>
          </a:r>
          <a:r>
            <a:rPr lang="en-US" sz="1100" i="1">
              <a:effectLst/>
              <a:latin typeface="Brix Slab Light"/>
              <a:ea typeface="Brix Slab Light"/>
              <a:cs typeface="Times New Roman" panose="02020603050405020304" pitchFamily="18" charset="0"/>
            </a:rPr>
            <a:t>Manufacturing Cost Analysis for Proton Exchange Membrane Water Electrolyzers</a:t>
          </a:r>
          <a:r>
            <a:rPr lang="en-US" sz="1100">
              <a:effectLst/>
              <a:latin typeface="Brix Slab Light"/>
              <a:ea typeface="Brix Slab Light"/>
              <a:cs typeface="Times New Roman" panose="02020603050405020304" pitchFamily="18" charset="0"/>
            </a:rPr>
            <a:t>. </a:t>
          </a:r>
        </a:p>
        <a:p>
          <a:pPr>
            <a:lnSpc>
              <a:spcPts val="1430"/>
            </a:lnSpc>
            <a:spcAft>
              <a:spcPts val="1430"/>
            </a:spcAft>
          </a:pPr>
          <a:r>
            <a:rPr lang="en-US" sz="1100">
              <a:effectLst/>
              <a:latin typeface="Brix Slab Light"/>
              <a:ea typeface="Brix Slab Light"/>
              <a:cs typeface="Times New Roman" panose="02020603050405020304" pitchFamily="18" charset="0"/>
            </a:rPr>
            <a:t>URL: https://www.nrel.gov/docs/fy19osti/72740.pdf </a:t>
          </a:r>
        </a:p>
        <a:p>
          <a:pPr>
            <a:lnSpc>
              <a:spcPts val="1430"/>
            </a:lnSpc>
            <a:spcAft>
              <a:spcPts val="1430"/>
            </a:spcAft>
          </a:pPr>
          <a:r>
            <a:rPr lang="de-DE" sz="1100" b="1">
              <a:effectLst/>
              <a:latin typeface="Brix Slab Light"/>
              <a:ea typeface="Brix Slab Light"/>
              <a:cs typeface="Times New Roman" panose="02020603050405020304" pitchFamily="18" charset="0"/>
            </a:rPr>
            <a:t>Agora (2021):</a:t>
          </a:r>
          <a:r>
            <a:rPr lang="de-DE" sz="1100">
              <a:effectLst/>
              <a:latin typeface="Brix Slab Light"/>
              <a:ea typeface="Brix Slab Light"/>
              <a:cs typeface="Times New Roman" panose="02020603050405020304" pitchFamily="18" charset="0"/>
            </a:rPr>
            <a:t> </a:t>
          </a:r>
          <a:r>
            <a:rPr lang="de-DE" sz="1100" i="1">
              <a:effectLst/>
              <a:latin typeface="Brix Slab Light"/>
              <a:ea typeface="Brix Slab Light"/>
              <a:cs typeface="Times New Roman" panose="02020603050405020304" pitchFamily="18" charset="0"/>
            </a:rPr>
            <a:t>No regret hydrogen</a:t>
          </a:r>
          <a:r>
            <a:rPr lang="de-DE" sz="1100">
              <a:effectLst/>
              <a:latin typeface="Brix Slab Light"/>
              <a:ea typeface="Brix Slab Light"/>
              <a:cs typeface="Times New Roman" panose="02020603050405020304" pitchFamily="18" charset="0"/>
            </a:rPr>
            <a:t>. </a:t>
          </a:r>
          <a:endParaRPr lang="en-US" sz="1100">
            <a:effectLst/>
            <a:latin typeface="Brix Slab Light"/>
            <a:ea typeface="Brix Slab Light"/>
            <a:cs typeface="Times New Roman" panose="02020603050405020304" pitchFamily="18" charset="0"/>
          </a:endParaRPr>
        </a:p>
        <a:p>
          <a:pPr>
            <a:lnSpc>
              <a:spcPts val="1430"/>
            </a:lnSpc>
            <a:spcAft>
              <a:spcPts val="1430"/>
            </a:spcAft>
          </a:pPr>
          <a:r>
            <a:rPr lang="de-DE" sz="1100">
              <a:effectLst/>
              <a:latin typeface="Brix Slab Light"/>
              <a:ea typeface="Brix Slab Light"/>
              <a:cs typeface="Times New Roman" panose="02020603050405020304" pitchFamily="18" charset="0"/>
            </a:rPr>
            <a:t>URL: https://www.agora-energiewende.de/en/publications/no-regret-hydrogen/</a:t>
          </a:r>
          <a:endParaRPr lang="en-US" sz="1100">
            <a:effectLst/>
            <a:latin typeface="Brix Slab Light"/>
            <a:ea typeface="Brix Slab Light"/>
            <a:cs typeface="Times New Roman" panose="02020603050405020304" pitchFamily="18" charset="0"/>
          </a:endParaRPr>
        </a:p>
        <a:p>
          <a:pPr>
            <a:lnSpc>
              <a:spcPts val="1430"/>
            </a:lnSpc>
            <a:spcAft>
              <a:spcPts val="1430"/>
            </a:spcAft>
          </a:pPr>
          <a:r>
            <a:rPr lang="de-DE" sz="1100" b="1">
              <a:effectLst/>
              <a:latin typeface="Brix Slab Light"/>
              <a:ea typeface="Brix Slab Light"/>
              <a:cs typeface="Times New Roman" panose="02020603050405020304" pitchFamily="18" charset="0"/>
            </a:rPr>
            <a:t>Agora (2021):</a:t>
          </a:r>
          <a:r>
            <a:rPr lang="de-DE" sz="1100">
              <a:effectLst/>
              <a:latin typeface="Brix Slab Light"/>
              <a:ea typeface="Brix Slab Light"/>
              <a:cs typeface="Times New Roman" panose="02020603050405020304" pitchFamily="18" charset="0"/>
            </a:rPr>
            <a:t> </a:t>
          </a:r>
          <a:r>
            <a:rPr lang="de-DE" sz="1100" i="1">
              <a:effectLst/>
              <a:latin typeface="Brix Slab Light"/>
              <a:ea typeface="Brix Slab Light"/>
              <a:cs typeface="Times New Roman" panose="02020603050405020304" pitchFamily="18" charset="0"/>
            </a:rPr>
            <a:t>Klimaneutrales Deutschland 2045</a:t>
          </a:r>
          <a:r>
            <a:rPr lang="de-DE" sz="1100">
              <a:effectLst/>
              <a:latin typeface="Brix Slab Light"/>
              <a:ea typeface="Brix Slab Light"/>
              <a:cs typeface="Times New Roman" panose="02020603050405020304" pitchFamily="18" charset="0"/>
            </a:rPr>
            <a:t>. </a:t>
          </a:r>
          <a:endParaRPr lang="en-US" sz="1100">
            <a:effectLst/>
            <a:latin typeface="Brix Slab Light"/>
            <a:ea typeface="Brix Slab Light"/>
            <a:cs typeface="Times New Roman" panose="02020603050405020304" pitchFamily="18" charset="0"/>
          </a:endParaRPr>
        </a:p>
        <a:p>
          <a:pPr>
            <a:lnSpc>
              <a:spcPts val="1430"/>
            </a:lnSpc>
            <a:spcAft>
              <a:spcPts val="1430"/>
            </a:spcAft>
          </a:pPr>
          <a:r>
            <a:rPr lang="en-US" sz="1100">
              <a:effectLst/>
              <a:latin typeface="Brix Slab Light"/>
              <a:ea typeface="Brix Slab Light"/>
              <a:cs typeface="Times New Roman" panose="02020603050405020304" pitchFamily="18" charset="0"/>
            </a:rPr>
            <a:t>URL: </a:t>
          </a:r>
          <a:r>
            <a:rPr lang="en-US" sz="1100">
              <a:solidFill>
                <a:schemeClr val="tx1"/>
              </a:solidFill>
              <a:effectLst/>
              <a:latin typeface="Brix Slab Light"/>
              <a:ea typeface="Brix Slab Light"/>
              <a:cs typeface="Times New Roman" panose="02020603050405020304" pitchFamily="18" charset="0"/>
            </a:rPr>
            <a:t>https://www.agora-energiewende.de/veroeffentlichungen/klimaneutrales-deutschland-2045/</a:t>
          </a:r>
        </a:p>
        <a:p>
          <a:pPr>
            <a:lnSpc>
              <a:spcPts val="1430"/>
            </a:lnSpc>
            <a:spcAft>
              <a:spcPts val="1430"/>
            </a:spcAft>
          </a:pPr>
          <a:endParaRPr lang="en-US" sz="1100">
            <a:solidFill>
              <a:schemeClr val="tx1"/>
            </a:solidFill>
            <a:effectLst/>
            <a:latin typeface="Brix Slab Light"/>
            <a:ea typeface="Brix Slab Light"/>
            <a:cs typeface="Times New Roman" panose="02020603050405020304" pitchFamily="18" charset="0"/>
          </a:endParaRP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mlaut.com/" TargetMode="External"/><Relationship Id="rId2" Type="http://schemas.openxmlformats.org/officeDocument/2006/relationships/hyperlink" Target="mailto:info@agora-energiewende.de" TargetMode="External"/><Relationship Id="rId1" Type="http://schemas.openxmlformats.org/officeDocument/2006/relationships/hyperlink" Target="http://www.agora-energiewende.de/" TargetMode="External"/><Relationship Id="rId5" Type="http://schemas.openxmlformats.org/officeDocument/2006/relationships/drawing" Target="../drawings/drawing1.xml"/><Relationship Id="rId4" Type="http://schemas.openxmlformats.org/officeDocument/2006/relationships/hyperlink" Target="mailto:patrick.wienert@accenture.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agora-energiewende.de/en/publications/levelised-cost-of-hydroge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20F3C-1C01-40CD-B1C5-035858D58E85}">
  <dimension ref="B1:O25"/>
  <sheetViews>
    <sheetView tabSelected="1" zoomScale="70" zoomScaleNormal="70" workbookViewId="0">
      <selection activeCell="C15" sqref="C15"/>
    </sheetView>
  </sheetViews>
  <sheetFormatPr defaultColWidth="11.42578125" defaultRowHeight="14.65"/>
  <cols>
    <col min="1" max="1" width="11.42578125" style="1"/>
    <col min="2" max="2" width="15.7109375" style="1" customWidth="1"/>
    <col min="3" max="16384" width="11.42578125" style="1"/>
  </cols>
  <sheetData>
    <row r="1" spans="2:15" ht="22.35" customHeight="1"/>
    <row r="2" spans="2:15" ht="86.45" customHeight="1">
      <c r="B2" s="44"/>
      <c r="C2" s="45"/>
      <c r="D2" s="45"/>
      <c r="E2" s="45"/>
      <c r="F2" s="45"/>
      <c r="G2" s="45"/>
      <c r="H2" s="45"/>
      <c r="I2" s="45"/>
      <c r="J2" s="45"/>
      <c r="K2" s="45"/>
      <c r="L2" s="45"/>
      <c r="M2" s="45"/>
      <c r="N2" s="45"/>
      <c r="O2" s="46"/>
    </row>
    <row r="3" spans="2:15" ht="15.4">
      <c r="B3" s="117"/>
      <c r="C3" s="118"/>
      <c r="D3" s="118"/>
      <c r="E3" s="118"/>
      <c r="F3" s="118"/>
      <c r="G3" s="118"/>
      <c r="H3" s="118"/>
      <c r="I3" s="118"/>
      <c r="J3" s="118"/>
      <c r="K3" s="118"/>
      <c r="L3" s="118"/>
      <c r="M3" s="118"/>
      <c r="N3" s="118"/>
      <c r="O3" s="119"/>
    </row>
    <row r="4" spans="2:15" ht="15.4">
      <c r="B4" s="117" t="s">
        <v>0</v>
      </c>
      <c r="C4" s="118"/>
      <c r="D4" s="118"/>
      <c r="E4" s="118"/>
      <c r="F4" s="118"/>
      <c r="G4" s="118"/>
      <c r="H4" s="118"/>
      <c r="I4" s="118"/>
      <c r="J4" s="118"/>
      <c r="K4" s="118"/>
      <c r="L4" s="118"/>
      <c r="M4" s="118"/>
      <c r="N4" s="118"/>
      <c r="O4" s="119"/>
    </row>
    <row r="5" spans="2:15">
      <c r="B5" s="120"/>
      <c r="C5" s="118"/>
      <c r="D5" s="118"/>
      <c r="E5" s="118"/>
      <c r="F5" s="118"/>
      <c r="G5" s="118"/>
      <c r="H5" s="118"/>
      <c r="I5" s="118"/>
      <c r="J5" s="118"/>
      <c r="K5" s="118"/>
      <c r="L5" s="118"/>
      <c r="M5" s="118"/>
      <c r="N5" s="118"/>
      <c r="O5" s="119"/>
    </row>
    <row r="6" spans="2:15">
      <c r="B6" s="120" t="s">
        <v>1</v>
      </c>
      <c r="C6" s="118" t="s">
        <v>2</v>
      </c>
      <c r="D6" s="118"/>
      <c r="E6" s="118"/>
      <c r="F6" s="118"/>
      <c r="G6" s="118"/>
      <c r="H6" s="118" t="s">
        <v>3</v>
      </c>
      <c r="I6" s="118"/>
      <c r="J6" s="118" t="s">
        <v>4</v>
      </c>
      <c r="K6" s="118"/>
      <c r="L6" s="121"/>
      <c r="M6" s="118"/>
      <c r="N6" s="118"/>
      <c r="O6" s="119"/>
    </row>
    <row r="7" spans="2:15">
      <c r="B7" s="120"/>
      <c r="C7" s="118" t="s">
        <v>5</v>
      </c>
      <c r="D7" s="118"/>
      <c r="E7" s="118"/>
      <c r="F7" s="118"/>
      <c r="G7" s="118"/>
      <c r="H7" s="118"/>
      <c r="I7" s="118"/>
      <c r="J7" s="118" t="s">
        <v>6</v>
      </c>
      <c r="K7" s="118"/>
      <c r="L7" s="118"/>
      <c r="M7" s="118"/>
      <c r="N7" s="118"/>
      <c r="O7" s="119"/>
    </row>
    <row r="8" spans="2:15">
      <c r="B8" s="120"/>
      <c r="C8" s="118" t="s">
        <v>7</v>
      </c>
      <c r="D8" s="118"/>
      <c r="E8" s="118"/>
      <c r="F8" s="118"/>
      <c r="G8" s="118"/>
      <c r="H8" s="118"/>
      <c r="I8" s="118"/>
      <c r="J8" s="118" t="s">
        <v>8</v>
      </c>
      <c r="K8" s="118"/>
      <c r="L8" s="118"/>
      <c r="M8" s="118"/>
      <c r="N8" s="118"/>
      <c r="O8" s="119"/>
    </row>
    <row r="9" spans="2:15">
      <c r="B9" s="120"/>
      <c r="C9" s="118" t="s">
        <v>9</v>
      </c>
      <c r="D9" s="118"/>
      <c r="E9" s="118"/>
      <c r="F9" s="118"/>
      <c r="G9" s="118"/>
      <c r="H9" s="118"/>
      <c r="I9" s="118"/>
      <c r="J9" s="118" t="s">
        <v>9</v>
      </c>
      <c r="K9" s="118"/>
      <c r="L9" s="118"/>
      <c r="M9" s="118"/>
      <c r="N9" s="118"/>
      <c r="O9" s="119"/>
    </row>
    <row r="10" spans="2:15">
      <c r="B10" s="120"/>
      <c r="C10" s="122" t="s">
        <v>10</v>
      </c>
      <c r="D10" s="118"/>
      <c r="E10" s="118"/>
      <c r="F10" s="118"/>
      <c r="G10" s="118"/>
      <c r="H10" s="118"/>
      <c r="I10" s="118"/>
      <c r="J10" s="122" t="s">
        <v>11</v>
      </c>
      <c r="K10" s="118"/>
      <c r="L10" s="118"/>
      <c r="M10" s="123"/>
      <c r="N10" s="118"/>
      <c r="O10" s="119"/>
    </row>
    <row r="11" spans="2:15">
      <c r="B11" s="120"/>
      <c r="C11" s="123"/>
      <c r="D11" s="118"/>
      <c r="E11" s="118"/>
      <c r="F11" s="118"/>
      <c r="G11" s="118"/>
      <c r="H11" s="118"/>
      <c r="I11" s="118"/>
      <c r="J11" s="122"/>
      <c r="K11" s="118"/>
      <c r="L11" s="118"/>
      <c r="M11" s="123"/>
      <c r="N11" s="118"/>
      <c r="O11" s="119"/>
    </row>
    <row r="12" spans="2:15">
      <c r="B12" s="120" t="s">
        <v>12</v>
      </c>
      <c r="C12" s="122" t="s">
        <v>13</v>
      </c>
      <c r="D12" s="118"/>
      <c r="E12" s="118"/>
      <c r="F12" s="118"/>
      <c r="G12" s="118"/>
      <c r="H12" s="118"/>
      <c r="I12" s="118"/>
      <c r="J12" s="122"/>
      <c r="K12" s="118"/>
      <c r="L12" s="118"/>
      <c r="M12" s="123"/>
      <c r="N12" s="118"/>
      <c r="O12" s="119"/>
    </row>
    <row r="13" spans="2:15">
      <c r="B13" s="120"/>
      <c r="C13" s="118"/>
      <c r="D13" s="118"/>
      <c r="E13" s="118"/>
      <c r="F13" s="118"/>
      <c r="G13" s="118"/>
      <c r="H13" s="118"/>
      <c r="I13" s="118"/>
      <c r="J13" s="118"/>
      <c r="K13" s="118"/>
      <c r="L13" s="118"/>
      <c r="M13" s="118"/>
      <c r="N13" s="118"/>
      <c r="O13" s="119"/>
    </row>
    <row r="14" spans="2:15">
      <c r="B14" s="120" t="s">
        <v>14</v>
      </c>
      <c r="C14" s="118" t="s">
        <v>15</v>
      </c>
      <c r="D14" s="118"/>
      <c r="E14" s="118"/>
      <c r="F14" s="118"/>
      <c r="G14" s="118"/>
      <c r="H14" s="118"/>
      <c r="I14" s="118"/>
      <c r="J14" s="118"/>
      <c r="K14" s="118"/>
      <c r="L14" s="118"/>
      <c r="M14" s="118"/>
      <c r="N14" s="118"/>
      <c r="O14" s="119"/>
    </row>
    <row r="15" spans="2:15">
      <c r="B15" s="120"/>
      <c r="C15" s="118" t="s">
        <v>16</v>
      </c>
      <c r="D15" s="118"/>
      <c r="E15" s="118"/>
      <c r="F15" s="118"/>
      <c r="G15" s="118"/>
      <c r="H15" s="118"/>
      <c r="I15" s="118"/>
      <c r="J15" s="118"/>
      <c r="K15" s="118"/>
      <c r="L15" s="118"/>
      <c r="M15" s="118"/>
      <c r="N15" s="118"/>
      <c r="O15" s="119"/>
    </row>
    <row r="16" spans="2:15">
      <c r="B16" s="120"/>
      <c r="C16" s="118" t="s">
        <v>17</v>
      </c>
      <c r="D16" s="118"/>
      <c r="E16" s="118"/>
      <c r="F16" s="118"/>
      <c r="G16" s="118"/>
      <c r="H16" s="118"/>
      <c r="I16" s="118"/>
      <c r="J16" s="118"/>
      <c r="K16" s="118"/>
      <c r="L16" s="118"/>
      <c r="M16" s="118"/>
      <c r="N16" s="118"/>
      <c r="O16" s="119"/>
    </row>
    <row r="17" spans="2:15">
      <c r="B17" s="120"/>
      <c r="C17" s="118"/>
      <c r="D17" s="118"/>
      <c r="E17" s="118"/>
      <c r="F17" s="118"/>
      <c r="G17" s="118"/>
      <c r="H17" s="118" t="s">
        <v>18</v>
      </c>
      <c r="I17" s="118"/>
      <c r="J17" s="118"/>
      <c r="K17" s="118"/>
      <c r="L17" s="118"/>
      <c r="M17" s="118"/>
      <c r="N17" s="118"/>
      <c r="O17" s="119"/>
    </row>
    <row r="18" spans="2:15">
      <c r="B18" s="120"/>
      <c r="C18" s="118"/>
      <c r="D18" s="118"/>
      <c r="E18" s="118"/>
      <c r="F18" s="118"/>
      <c r="G18" s="118"/>
      <c r="H18" s="118" t="s">
        <v>19</v>
      </c>
      <c r="I18" s="118"/>
      <c r="J18" s="118"/>
      <c r="K18" s="118"/>
      <c r="L18" s="118"/>
      <c r="M18" s="118"/>
      <c r="N18" s="118"/>
      <c r="O18" s="119"/>
    </row>
    <row r="19" spans="2:15">
      <c r="B19" s="120" t="s">
        <v>20</v>
      </c>
      <c r="C19" s="124">
        <v>45078</v>
      </c>
      <c r="D19" s="118"/>
      <c r="E19" s="118"/>
      <c r="F19" s="118"/>
      <c r="G19" s="118"/>
      <c r="H19" s="118" t="s">
        <v>21</v>
      </c>
      <c r="I19" s="118"/>
      <c r="J19" s="118"/>
      <c r="K19" s="118"/>
      <c r="L19" s="118"/>
      <c r="M19" s="118"/>
      <c r="N19" s="118"/>
      <c r="O19" s="119"/>
    </row>
    <row r="20" spans="2:15">
      <c r="B20" s="120" t="s">
        <v>22</v>
      </c>
      <c r="C20" s="125" t="s">
        <v>23</v>
      </c>
      <c r="D20" s="118"/>
      <c r="E20" s="118"/>
      <c r="F20" s="118"/>
      <c r="G20" s="118"/>
      <c r="H20" s="118"/>
      <c r="I20" s="118"/>
      <c r="J20" s="118"/>
      <c r="K20" s="118"/>
      <c r="L20" s="118"/>
      <c r="M20" s="118"/>
      <c r="N20" s="118"/>
      <c r="O20" s="119"/>
    </row>
    <row r="21" spans="2:15">
      <c r="B21" s="120"/>
      <c r="C21" s="118"/>
      <c r="D21" s="118"/>
      <c r="E21" s="118"/>
      <c r="F21" s="118"/>
      <c r="G21" s="118"/>
      <c r="H21" s="118" t="s">
        <v>24</v>
      </c>
      <c r="I21" s="118"/>
      <c r="J21" s="126" t="s">
        <v>25</v>
      </c>
      <c r="K21" s="127"/>
      <c r="L21" s="127"/>
      <c r="M21" s="127"/>
      <c r="N21" s="118"/>
      <c r="O21" s="119"/>
    </row>
    <row r="22" spans="2:15">
      <c r="B22" s="120" t="s">
        <v>26</v>
      </c>
      <c r="C22" s="122" t="s">
        <v>27</v>
      </c>
      <c r="D22" s="118"/>
      <c r="E22" s="118"/>
      <c r="F22" s="118"/>
      <c r="G22" s="118"/>
      <c r="H22" s="118"/>
      <c r="I22" s="118"/>
      <c r="J22" s="126" t="s">
        <v>28</v>
      </c>
      <c r="K22" s="127"/>
      <c r="L22" s="127"/>
      <c r="M22" s="127"/>
      <c r="N22" s="118"/>
      <c r="O22" s="119"/>
    </row>
    <row r="23" spans="2:15">
      <c r="B23" s="120"/>
      <c r="C23" s="118"/>
      <c r="D23" s="118"/>
      <c r="E23" s="118"/>
      <c r="F23" s="118"/>
      <c r="G23" s="118"/>
      <c r="H23" s="118"/>
      <c r="I23" s="118"/>
      <c r="J23" s="126" t="s">
        <v>29</v>
      </c>
      <c r="K23" s="127"/>
      <c r="L23" s="127"/>
      <c r="M23" s="127"/>
      <c r="N23" s="118"/>
      <c r="O23" s="119"/>
    </row>
    <row r="24" spans="2:15">
      <c r="B24" s="120"/>
      <c r="C24" s="118"/>
      <c r="D24" s="118"/>
      <c r="E24" s="118"/>
      <c r="F24" s="118"/>
      <c r="G24" s="118"/>
      <c r="H24" s="118"/>
      <c r="I24" s="118"/>
      <c r="J24" s="128"/>
      <c r="K24" s="118"/>
      <c r="L24" s="118"/>
      <c r="M24" s="118"/>
      <c r="N24" s="118"/>
      <c r="O24" s="119"/>
    </row>
    <row r="25" spans="2:15">
      <c r="B25" s="129"/>
      <c r="C25" s="130"/>
      <c r="D25" s="130"/>
      <c r="E25" s="130"/>
      <c r="F25" s="130"/>
      <c r="G25" s="130"/>
      <c r="H25" s="130"/>
      <c r="I25" s="130"/>
      <c r="J25" s="130"/>
      <c r="K25" s="130"/>
      <c r="L25" s="130"/>
      <c r="M25" s="130"/>
      <c r="N25" s="130"/>
      <c r="O25" s="131"/>
    </row>
  </sheetData>
  <sheetProtection algorithmName="SHA-512" hashValue="XEIFiCTIRYuXHqKEflSn7X81pcNtmox2vhx6tl5IZz436w9BhK5B23dHhuQagkcxe7wOB8+dwlmVyv8bpXuhKQ==" saltValue="s8NBwhgCOst7RwvOsvJmNw==" spinCount="100000" sheet="1" objects="1" scenarios="1"/>
  <hyperlinks>
    <hyperlink ref="J10" r:id="rId1" xr:uid="{5F238BDC-98CB-4A62-905E-7EEF445403C6}"/>
    <hyperlink ref="C22" r:id="rId2" xr:uid="{015B8B73-3BC0-47E0-9154-0030BB893688}"/>
    <hyperlink ref="C10" r:id="rId3" xr:uid="{AA709861-BB5E-4FBE-A5C6-2760FB75120A}"/>
    <hyperlink ref="C12" r:id="rId4" xr:uid="{0270760B-EF3A-41CD-9E7D-3193BA69A58B}"/>
  </hyperlinks>
  <pageMargins left="0.7" right="0.7" top="0.78740157499999996" bottom="0.78740157499999996" header="0.3" footer="0.3"/>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5136F-6A10-4A91-BBE7-5F19B5D13F38}">
  <sheetPr codeName="Tabelle1">
    <tabColor rgb="FFC00000"/>
  </sheetPr>
  <dimension ref="A1:X48"/>
  <sheetViews>
    <sheetView topLeftCell="A2" zoomScale="55" zoomScaleNormal="55" workbookViewId="0">
      <selection activeCell="F9" sqref="F9"/>
    </sheetView>
  </sheetViews>
  <sheetFormatPr defaultColWidth="11.42578125" defaultRowHeight="14.65"/>
  <cols>
    <col min="1" max="1" width="6.42578125" customWidth="1"/>
    <col min="2" max="3" width="11.42578125" style="1"/>
    <col min="4" max="4" width="13.42578125" style="1" customWidth="1"/>
    <col min="5" max="5" width="0" style="1" hidden="1" customWidth="1"/>
    <col min="6" max="6" width="12" style="1" bestFit="1" customWidth="1"/>
    <col min="7" max="7" width="26.42578125" style="1" customWidth="1"/>
    <col min="8" max="8" width="3.42578125" style="1" customWidth="1"/>
    <col min="9" max="12" width="11.42578125" style="1"/>
    <col min="13" max="14" width="10.85546875" style="1" customWidth="1"/>
    <col min="15" max="15" width="21" style="1" customWidth="1"/>
    <col min="16" max="21" width="11.42578125" style="1"/>
    <col min="22" max="22" width="9" style="1" customWidth="1"/>
    <col min="23" max="23" width="11.42578125" style="1"/>
    <col min="24" max="24" width="5.42578125" style="1" customWidth="1"/>
    <col min="25" max="16384" width="11.42578125" style="1"/>
  </cols>
  <sheetData>
    <row r="1" spans="1:24" ht="14.45" customHeight="1">
      <c r="A1" s="95"/>
      <c r="B1" s="96"/>
      <c r="C1" s="96"/>
      <c r="D1" s="96"/>
      <c r="E1" s="96"/>
      <c r="F1" s="96"/>
      <c r="G1" s="96"/>
      <c r="H1" s="96"/>
      <c r="I1" s="96"/>
      <c r="J1" s="96"/>
      <c r="K1" s="96"/>
      <c r="L1" s="96"/>
      <c r="M1" s="96"/>
      <c r="N1" s="96"/>
      <c r="O1" s="96"/>
      <c r="P1" s="96"/>
      <c r="Q1" s="96"/>
      <c r="R1" s="96"/>
      <c r="S1" s="96"/>
      <c r="T1" s="96"/>
      <c r="U1" s="97"/>
    </row>
    <row r="2" spans="1:24" ht="14.45" customHeight="1">
      <c r="A2" s="98"/>
      <c r="B2" s="99"/>
      <c r="C2" s="99"/>
      <c r="D2" s="99"/>
      <c r="E2" s="99"/>
      <c r="F2" s="99"/>
      <c r="G2" s="99"/>
      <c r="H2" s="99"/>
      <c r="I2" s="99"/>
      <c r="J2" s="99"/>
      <c r="K2" s="99"/>
      <c r="L2" s="99"/>
      <c r="M2" s="99"/>
      <c r="N2" s="99"/>
      <c r="O2" s="99"/>
      <c r="P2" s="99"/>
      <c r="Q2" s="99"/>
      <c r="R2" s="99"/>
      <c r="S2" s="99"/>
      <c r="T2" s="99"/>
      <c r="U2" s="100"/>
    </row>
    <row r="3" spans="1:24" ht="14.45" customHeight="1">
      <c r="A3" s="98"/>
      <c r="B3" s="99"/>
      <c r="C3" s="99"/>
      <c r="D3" s="99"/>
      <c r="E3" s="99"/>
      <c r="F3" s="99"/>
      <c r="G3" s="99"/>
      <c r="H3" s="99"/>
      <c r="I3" s="99"/>
      <c r="J3" s="99"/>
      <c r="K3" s="99"/>
      <c r="L3" s="99"/>
      <c r="M3" s="99"/>
      <c r="N3" s="99"/>
      <c r="O3" s="99"/>
      <c r="P3" s="99"/>
      <c r="Q3" s="99"/>
      <c r="R3" s="99"/>
      <c r="S3" s="99"/>
      <c r="T3" s="99"/>
      <c r="U3" s="100"/>
    </row>
    <row r="4" spans="1:24" ht="14.45" customHeight="1">
      <c r="A4" s="101"/>
      <c r="B4" s="4"/>
      <c r="C4" s="4"/>
      <c r="D4" s="4"/>
      <c r="E4" s="4"/>
      <c r="F4" s="4"/>
      <c r="G4" s="4"/>
      <c r="H4" s="4"/>
      <c r="I4" s="4"/>
      <c r="J4" s="4"/>
      <c r="K4" s="4"/>
      <c r="L4" s="4"/>
      <c r="M4" s="4"/>
      <c r="N4" s="4"/>
      <c r="O4" s="4"/>
      <c r="P4" s="4"/>
      <c r="Q4" s="4"/>
      <c r="R4" s="4"/>
      <c r="S4" s="4"/>
      <c r="T4" s="4"/>
      <c r="U4" s="102"/>
    </row>
    <row r="5" spans="1:24" ht="14.45" customHeight="1">
      <c r="A5" s="101"/>
      <c r="B5" s="4"/>
      <c r="C5" s="4"/>
      <c r="D5" s="4"/>
      <c r="E5" s="4"/>
      <c r="F5" s="4"/>
      <c r="G5" s="4"/>
      <c r="H5" s="4"/>
      <c r="I5" s="4"/>
      <c r="J5" s="4"/>
      <c r="K5" s="4"/>
      <c r="L5" s="4"/>
      <c r="M5" s="4"/>
      <c r="N5" s="4"/>
      <c r="O5" s="4"/>
      <c r="P5" s="4"/>
      <c r="Q5" s="4"/>
      <c r="R5" s="4"/>
      <c r="S5" s="4"/>
      <c r="T5" s="4"/>
      <c r="U5" s="102"/>
    </row>
    <row r="6" spans="1:24" ht="21" customHeight="1">
      <c r="A6" s="103"/>
      <c r="B6" s="104"/>
      <c r="C6" s="104"/>
      <c r="D6" s="104"/>
      <c r="E6" s="104"/>
      <c r="F6" s="104"/>
      <c r="G6" s="104"/>
      <c r="H6" s="104"/>
      <c r="I6" s="104"/>
      <c r="J6" s="104"/>
      <c r="K6" s="104"/>
      <c r="L6" s="104"/>
      <c r="M6" s="104"/>
      <c r="N6" s="104"/>
      <c r="O6" s="104"/>
      <c r="P6" s="104"/>
      <c r="Q6" s="104"/>
      <c r="R6" s="104"/>
      <c r="S6" s="104"/>
      <c r="T6" s="104"/>
      <c r="U6" s="105"/>
    </row>
    <row r="7" spans="1:24" ht="26.25" customHeight="1">
      <c r="A7" s="170" t="s">
        <v>30</v>
      </c>
      <c r="B7" s="171"/>
      <c r="C7" s="171"/>
      <c r="D7" s="171"/>
      <c r="E7" s="171"/>
      <c r="F7" s="171"/>
      <c r="G7" s="172"/>
      <c r="H7" s="4"/>
      <c r="I7" s="154" t="s">
        <v>31</v>
      </c>
      <c r="J7" s="155"/>
      <c r="K7" s="156"/>
      <c r="L7" s="93">
        <f>F33</f>
        <v>5.975605440723033</v>
      </c>
      <c r="M7" s="94" t="s">
        <v>32</v>
      </c>
      <c r="N7" s="4"/>
      <c r="O7" s="4"/>
      <c r="P7" s="4"/>
      <c r="Q7" s="4"/>
      <c r="R7" s="4"/>
      <c r="S7" s="4"/>
      <c r="T7" s="4"/>
      <c r="U7" s="4"/>
    </row>
    <row r="8" spans="1:24" ht="26.45" customHeight="1" thickBot="1">
      <c r="A8" s="12"/>
      <c r="B8" s="12"/>
      <c r="C8" s="12"/>
      <c r="D8" s="12"/>
      <c r="E8" s="12"/>
      <c r="F8" s="12"/>
      <c r="G8" s="12"/>
    </row>
    <row r="9" spans="1:24" ht="14.45" customHeight="1">
      <c r="A9" s="167" t="s">
        <v>33</v>
      </c>
      <c r="B9" s="177" t="s">
        <v>34</v>
      </c>
      <c r="C9" s="177"/>
      <c r="D9" s="177"/>
      <c r="E9" s="178"/>
      <c r="F9" s="47">
        <v>7</v>
      </c>
      <c r="G9" s="17" t="s">
        <v>35</v>
      </c>
      <c r="R9"/>
      <c r="S9"/>
      <c r="T9"/>
      <c r="U9"/>
    </row>
    <row r="10" spans="1:24">
      <c r="A10" s="168"/>
      <c r="B10" s="132" t="s">
        <v>36</v>
      </c>
      <c r="C10" s="132"/>
      <c r="D10" s="132"/>
      <c r="E10" s="132"/>
      <c r="F10" s="48">
        <v>30</v>
      </c>
      <c r="G10" s="18" t="s">
        <v>37</v>
      </c>
    </row>
    <row r="11" spans="1:24">
      <c r="A11" s="168"/>
      <c r="B11" s="132" t="s">
        <v>38</v>
      </c>
      <c r="C11" s="132"/>
      <c r="D11" s="132"/>
      <c r="E11" s="14"/>
      <c r="F11" s="48">
        <v>80000</v>
      </c>
      <c r="G11" s="18" t="s">
        <v>39</v>
      </c>
    </row>
    <row r="12" spans="1:24">
      <c r="A12" s="168"/>
      <c r="B12" s="132" t="s">
        <v>40</v>
      </c>
      <c r="C12" s="132"/>
      <c r="D12" s="132"/>
      <c r="E12" s="134"/>
      <c r="F12" s="19">
        <f>(F9*0.01*(1+F9*0.01)^F10)/((1+F9*0.01)^F10-1)</f>
        <v>8.0586403511111196E-2</v>
      </c>
      <c r="G12" s="18" t="s">
        <v>41</v>
      </c>
      <c r="X12" s="64"/>
    </row>
    <row r="13" spans="1:24" ht="14.45" customHeight="1">
      <c r="A13" s="168"/>
      <c r="B13" s="132" t="s">
        <v>42</v>
      </c>
      <c r="C13" s="132"/>
      <c r="D13" s="132"/>
      <c r="E13" s="132"/>
      <c r="F13" s="49">
        <v>55.5</v>
      </c>
      <c r="G13" s="18" t="s">
        <v>43</v>
      </c>
    </row>
    <row r="14" spans="1:24" ht="17.100000000000001">
      <c r="A14" s="168"/>
      <c r="B14" s="132" t="s">
        <v>44</v>
      </c>
      <c r="C14" s="132"/>
      <c r="D14" s="132"/>
      <c r="E14" s="132"/>
      <c r="F14" s="20">
        <f>IF(F17 &lt; 30,F13+Backend_calculations!F7," ")</f>
        <v>57.933675379156099</v>
      </c>
      <c r="G14" s="18" t="s">
        <v>43</v>
      </c>
    </row>
    <row r="15" spans="1:24">
      <c r="A15" s="168"/>
      <c r="B15" s="132" t="s">
        <v>45</v>
      </c>
      <c r="C15" s="132"/>
      <c r="D15" s="132"/>
      <c r="E15" s="132"/>
      <c r="F15" s="48">
        <v>4000</v>
      </c>
      <c r="G15" s="18" t="s">
        <v>39</v>
      </c>
    </row>
    <row r="16" spans="1:24">
      <c r="A16" s="168"/>
      <c r="B16" s="132" t="s">
        <v>46</v>
      </c>
      <c r="C16" s="132"/>
      <c r="D16" s="132"/>
      <c r="E16" s="14"/>
      <c r="F16" s="19">
        <f>F15/8760</f>
        <v>0.45662100456621002</v>
      </c>
      <c r="G16" s="18" t="s">
        <v>41</v>
      </c>
    </row>
    <row r="17" spans="1:21">
      <c r="A17" s="168"/>
      <c r="B17" s="160" t="s">
        <v>47</v>
      </c>
      <c r="C17" s="160"/>
      <c r="D17" s="160"/>
      <c r="E17" s="160"/>
      <c r="F17" s="48">
        <v>1</v>
      </c>
      <c r="G17" s="18" t="s">
        <v>48</v>
      </c>
    </row>
    <row r="18" spans="1:21" ht="14.45" customHeight="1" thickBot="1">
      <c r="A18" s="169"/>
      <c r="B18" s="173" t="s">
        <v>49</v>
      </c>
      <c r="C18" s="173"/>
      <c r="D18" s="173"/>
      <c r="E18" s="174"/>
      <c r="F18" s="50">
        <v>80</v>
      </c>
      <c r="G18" s="21" t="s">
        <v>35</v>
      </c>
    </row>
    <row r="19" spans="1:21" ht="14.45" customHeight="1">
      <c r="A19" s="3"/>
      <c r="B19" s="132" t="s">
        <v>50</v>
      </c>
      <c r="C19" s="132"/>
      <c r="D19" s="132"/>
      <c r="E19" s="132"/>
      <c r="F19" s="51">
        <v>70</v>
      </c>
      <c r="G19" s="22" t="s">
        <v>51</v>
      </c>
    </row>
    <row r="20" spans="1:21" ht="14.45" customHeight="1">
      <c r="A20" s="3"/>
      <c r="B20" s="132" t="s">
        <v>52</v>
      </c>
      <c r="C20" s="132"/>
      <c r="D20" s="132"/>
      <c r="E20" s="14"/>
      <c r="F20" s="52">
        <v>0.05</v>
      </c>
      <c r="G20" s="42" t="s">
        <v>53</v>
      </c>
    </row>
    <row r="21" spans="1:21" ht="14.45" customHeight="1" thickBot="1">
      <c r="A21" s="3"/>
      <c r="B21" s="133" t="s">
        <v>54</v>
      </c>
      <c r="C21" s="133"/>
      <c r="D21" s="133"/>
      <c r="E21" s="14"/>
      <c r="F21" s="51">
        <v>40</v>
      </c>
      <c r="G21" s="42" t="s">
        <v>51</v>
      </c>
    </row>
    <row r="22" spans="1:21" ht="14.45" customHeight="1" thickBot="1">
      <c r="A22" s="7" t="s">
        <v>55</v>
      </c>
      <c r="B22" s="175" t="s">
        <v>55</v>
      </c>
      <c r="C22" s="175"/>
      <c r="D22" s="175"/>
      <c r="E22" s="176"/>
      <c r="F22" s="53">
        <v>3</v>
      </c>
      <c r="G22" s="23" t="s">
        <v>56</v>
      </c>
    </row>
    <row r="23" spans="1:21" ht="14.45" customHeight="1" thickBot="1">
      <c r="A23" s="164" t="s">
        <v>57</v>
      </c>
      <c r="B23" s="132" t="s">
        <v>58</v>
      </c>
      <c r="C23" s="132"/>
      <c r="D23" s="132"/>
      <c r="E23" s="132"/>
      <c r="F23" s="54">
        <v>800</v>
      </c>
      <c r="G23" s="24" t="s">
        <v>59</v>
      </c>
      <c r="R23" s="135" t="s">
        <v>60</v>
      </c>
      <c r="S23" s="136"/>
      <c r="T23" s="106">
        <v>40</v>
      </c>
      <c r="U23" s="6" t="s">
        <v>35</v>
      </c>
    </row>
    <row r="24" spans="1:21">
      <c r="A24" s="165"/>
      <c r="B24" s="132" t="s">
        <v>61</v>
      </c>
      <c r="C24" s="132"/>
      <c r="D24" s="132"/>
      <c r="E24" s="132"/>
      <c r="F24" s="48">
        <v>30</v>
      </c>
      <c r="G24" s="25" t="s">
        <v>62</v>
      </c>
    </row>
    <row r="25" spans="1:21">
      <c r="A25" s="165"/>
      <c r="B25" s="132" t="s">
        <v>63</v>
      </c>
      <c r="C25" s="132"/>
      <c r="D25" s="132"/>
      <c r="E25" s="14"/>
      <c r="F25" s="20">
        <f>F11/F15</f>
        <v>20</v>
      </c>
      <c r="G25" s="25" t="s">
        <v>37</v>
      </c>
    </row>
    <row r="26" spans="1:21">
      <c r="A26" s="165"/>
      <c r="B26" s="132" t="s">
        <v>64</v>
      </c>
      <c r="C26" s="132"/>
      <c r="D26" s="132"/>
      <c r="E26" s="14"/>
      <c r="F26" s="55">
        <v>30</v>
      </c>
      <c r="G26" s="25" t="s">
        <v>62</v>
      </c>
    </row>
    <row r="27" spans="1:21">
      <c r="A27" s="165"/>
      <c r="B27" s="132" t="s">
        <v>65</v>
      </c>
      <c r="C27" s="132"/>
      <c r="D27" s="132"/>
      <c r="E27" s="14"/>
      <c r="F27" s="52">
        <f>F23-(F23*F26*0.01)</f>
        <v>560</v>
      </c>
      <c r="G27" s="25" t="s">
        <v>59</v>
      </c>
    </row>
    <row r="28" spans="1:21">
      <c r="A28" s="165"/>
      <c r="B28" s="132" t="s">
        <v>66</v>
      </c>
      <c r="C28" s="132"/>
      <c r="D28" s="132"/>
      <c r="E28" s="132"/>
      <c r="F28" s="52">
        <v>1000</v>
      </c>
      <c r="G28" s="25" t="s">
        <v>67</v>
      </c>
    </row>
    <row r="29" spans="1:21">
      <c r="A29" s="165"/>
      <c r="B29" s="132" t="s">
        <v>68</v>
      </c>
      <c r="C29" s="132"/>
      <c r="D29" s="132"/>
      <c r="E29" s="132"/>
      <c r="F29" s="52">
        <v>0</v>
      </c>
      <c r="G29" s="25" t="s">
        <v>59</v>
      </c>
    </row>
    <row r="30" spans="1:21">
      <c r="A30" s="165"/>
      <c r="B30" s="161" t="s">
        <v>69</v>
      </c>
      <c r="C30" s="162"/>
      <c r="D30" s="163"/>
      <c r="E30" s="14"/>
      <c r="F30" s="52">
        <v>0</v>
      </c>
      <c r="G30" s="25" t="s">
        <v>59</v>
      </c>
    </row>
    <row r="31" spans="1:21" ht="15" thickBot="1">
      <c r="A31" s="166"/>
      <c r="B31" s="141" t="s">
        <v>70</v>
      </c>
      <c r="C31" s="142"/>
      <c r="D31" s="142"/>
      <c r="E31" s="143"/>
      <c r="F31" s="27">
        <f>IF(F17&lt;30, (F23+(F28*Backend_calculations!F7/F14)+F29+F30+(F23*F24*0.01)+(F23*F26*0.01*((F10/F25)-1))),  (F23+(F28*Backend_calculations!F7/F13)+F29+F30+F23*F24*0.01+F23*F26*0.01*((F10/F25)-1)))</f>
        <v>1202.0079576037344</v>
      </c>
      <c r="G31" s="28" t="s">
        <v>59</v>
      </c>
    </row>
    <row r="32" spans="1:21" ht="23.45" customHeight="1" thickBot="1">
      <c r="A32" s="1"/>
      <c r="B32" s="15"/>
      <c r="C32" s="15"/>
      <c r="D32" s="15"/>
      <c r="E32" s="15"/>
      <c r="F32" s="29"/>
      <c r="G32" s="15"/>
    </row>
    <row r="33" spans="1:11" ht="14.45" customHeight="1">
      <c r="A33" s="179" t="s">
        <v>31</v>
      </c>
      <c r="B33" s="144" t="s">
        <v>31</v>
      </c>
      <c r="C33" s="145"/>
      <c r="D33" s="145"/>
      <c r="E33" s="146"/>
      <c r="F33" s="30">
        <f>SUM(F37:F40)</f>
        <v>5.975605440723033</v>
      </c>
      <c r="G33" s="31" t="s">
        <v>71</v>
      </c>
    </row>
    <row r="34" spans="1:11" ht="14.45" customHeight="1">
      <c r="A34" s="180"/>
      <c r="B34" s="152" t="s">
        <v>72</v>
      </c>
      <c r="C34" s="153"/>
      <c r="D34" s="153"/>
      <c r="E34" s="39"/>
      <c r="F34" s="40">
        <f>F33-Backend_calculations!D53-Backend_calculations!D54</f>
        <v>4.5914584255567883</v>
      </c>
      <c r="G34" s="41" t="s">
        <v>71</v>
      </c>
    </row>
    <row r="35" spans="1:11" ht="17.649999999999999" thickBot="1">
      <c r="A35" s="181"/>
      <c r="B35" s="147" t="s">
        <v>73</v>
      </c>
      <c r="C35" s="148"/>
      <c r="D35" s="148"/>
      <c r="E35" s="149"/>
      <c r="F35" s="32">
        <f>F33/33.33</f>
        <v>0.1792860918308741</v>
      </c>
      <c r="G35" s="33" t="s">
        <v>74</v>
      </c>
    </row>
    <row r="36" spans="1:11" ht="14.45" customHeight="1" thickBot="1">
      <c r="A36" s="5"/>
      <c r="B36" s="16"/>
      <c r="C36" s="16"/>
      <c r="D36" s="16"/>
      <c r="E36" s="16"/>
      <c r="F36" s="29"/>
      <c r="G36" s="15"/>
    </row>
    <row r="37" spans="1:11" ht="14.45" customHeight="1">
      <c r="A37" s="157" t="s">
        <v>75</v>
      </c>
      <c r="B37" s="150" t="s">
        <v>76</v>
      </c>
      <c r="C37" s="150"/>
      <c r="D37" s="150"/>
      <c r="E37" s="151"/>
      <c r="F37" s="34">
        <f>IF(F17&lt;30,(33.33/(33.33/F14))*(F31/(F15*F10)),(33.33/(33.33/F13))*(F31/(F15*F10)))</f>
        <v>0.5803061568248099</v>
      </c>
      <c r="G37" s="35" t="s">
        <v>71</v>
      </c>
    </row>
    <row r="38" spans="1:11" ht="17.100000000000001">
      <c r="A38" s="158"/>
      <c r="B38" s="137" t="s">
        <v>55</v>
      </c>
      <c r="C38" s="137"/>
      <c r="D38" s="137"/>
      <c r="E38" s="137"/>
      <c r="F38" s="26">
        <f>IF(F17&lt;30,(33.33/(33.33/F14))*((F22*0.01*F31)/F15),(33.33/(33.33/F13))*((F22*0.01*F31)/F15))</f>
        <v>0.52227554114232888</v>
      </c>
      <c r="G38" s="36" t="s">
        <v>71</v>
      </c>
    </row>
    <row r="39" spans="1:11" ht="17.100000000000001">
      <c r="A39" s="158"/>
      <c r="B39" s="137" t="s">
        <v>50</v>
      </c>
      <c r="C39" s="137"/>
      <c r="D39" s="137"/>
      <c r="E39" s="137"/>
      <c r="F39" s="26">
        <f>IF(F17&lt;30,(33.33/(33.33/F14))*(F19/1000),(33.33/(33.33/F13))*(F19/1000))</f>
        <v>4.0553572765409278</v>
      </c>
      <c r="G39" s="36" t="s">
        <v>71</v>
      </c>
    </row>
    <row r="40" spans="1:11" ht="17.649999999999999" thickBot="1">
      <c r="A40" s="159"/>
      <c r="B40" s="138" t="s">
        <v>77</v>
      </c>
      <c r="C40" s="139"/>
      <c r="D40" s="139"/>
      <c r="E40" s="140"/>
      <c r="F40" s="37">
        <f>SUM(Backend_calculations!F45:F50)</f>
        <v>0.81766646621496597</v>
      </c>
      <c r="G40" s="38" t="s">
        <v>71</v>
      </c>
    </row>
    <row r="41" spans="1:11">
      <c r="A41" s="1"/>
    </row>
    <row r="42" spans="1:11">
      <c r="A42" s="1"/>
    </row>
    <row r="43" spans="1:11">
      <c r="A43" s="1"/>
    </row>
    <row r="46" spans="1:11">
      <c r="F46" s="56"/>
      <c r="K46" s="56"/>
    </row>
    <row r="47" spans="1:11">
      <c r="I47" s="60"/>
      <c r="K47" s="56"/>
    </row>
    <row r="48" spans="1:11">
      <c r="I48" s="60"/>
    </row>
  </sheetData>
  <sheetProtection algorithmName="SHA-512" hashValue="aB/jbJc6Pf4XKhXFzeO3+5K6NPbiWjYpyKe3V2+FvpBBZSvHnCHcO8WUlWaEO/hY6s4sHO6RmKWL4ZWaIsIkfA==" saltValue="lGaFIYZdt/Xs3r1PG/JQ7Q==" spinCount="100000" sheet="1" objects="1" scenarios="1"/>
  <mergeCells count="37">
    <mergeCell ref="I7:K7"/>
    <mergeCell ref="A37:A40"/>
    <mergeCell ref="B15:E15"/>
    <mergeCell ref="B19:E19"/>
    <mergeCell ref="B16:D16"/>
    <mergeCell ref="B17:E17"/>
    <mergeCell ref="B30:D30"/>
    <mergeCell ref="B23:E23"/>
    <mergeCell ref="A23:A31"/>
    <mergeCell ref="A9:A18"/>
    <mergeCell ref="A7:G7"/>
    <mergeCell ref="B18:E18"/>
    <mergeCell ref="B22:E22"/>
    <mergeCell ref="B11:D11"/>
    <mergeCell ref="B9:E9"/>
    <mergeCell ref="A33:A35"/>
    <mergeCell ref="R23:S23"/>
    <mergeCell ref="B38:E38"/>
    <mergeCell ref="B39:E39"/>
    <mergeCell ref="B40:E40"/>
    <mergeCell ref="B29:E29"/>
    <mergeCell ref="B31:E31"/>
    <mergeCell ref="B33:E33"/>
    <mergeCell ref="B35:E35"/>
    <mergeCell ref="B37:E37"/>
    <mergeCell ref="B24:E24"/>
    <mergeCell ref="B28:E28"/>
    <mergeCell ref="B25:D25"/>
    <mergeCell ref="B27:D27"/>
    <mergeCell ref="B26:D26"/>
    <mergeCell ref="B34:D34"/>
    <mergeCell ref="B20:D20"/>
    <mergeCell ref="B21:D21"/>
    <mergeCell ref="B10:E10"/>
    <mergeCell ref="B13:E13"/>
    <mergeCell ref="B14:E14"/>
    <mergeCell ref="B12:E12"/>
  </mergeCells>
  <dataValidations xWindow="627" yWindow="447" count="17">
    <dataValidation allowBlank="1" showInputMessage="1" showErrorMessage="1" promptTitle="OPEX" prompt="If Further OPEX is empty, please choose an OPEX between 1.5% and 5%" sqref="F22" xr:uid="{0A45BF38-D3C3-401D-A5E0-522F2E01C7CF}"/>
    <dataValidation allowBlank="1" showInputMessage="1" showErrorMessage="1" promptTitle="Total compressor efficiency" prompt="If compressor efficiency is unknown, please choose 80% as a reference." sqref="F18" xr:uid="{0D876421-9F84-4C89-AEAA-F9C091A503F3}"/>
    <dataValidation allowBlank="1" showInputMessage="1" showErrorMessage="1" promptTitle="Annuity factor" prompt="This annuity factor is excluding the stack." sqref="F12" xr:uid="{38AEF4B5-CB5D-4AF5-B828-D3BF3A1A6969}"/>
    <dataValidation allowBlank="1" showInputMessage="1" showErrorMessage="1" promptTitle="CAPEX electrolyzer system" prompt="The mean value of the investigated studies is about 980 €/kW. However, different types of electrolyzers are included, there are significant deviations in the single data and partly low and high CAPEX cases are assumed. " sqref="F23" xr:uid="{76B678AF-9553-4F30-B9D2-B16115B3BD6B}"/>
    <dataValidation allowBlank="1" showInputMessage="1" showErrorMessage="1" promptTitle="EPC" prompt="Engineering Procurement Construction (EPC) includes among others lanning services, approvals, procurement, assembly and more." sqref="F24" xr:uid="{8EF24F84-1BC1-4FBD-B0D1-398256D38341}"/>
    <dataValidation allowBlank="1" showInputMessage="1" showErrorMessage="1" promptTitle="Input sensitivity" prompt="The value needs to be in the range of 1% to 100%." sqref="T23" xr:uid="{D3E9BCAD-D6FA-43B6-B720-549051B694E2}"/>
    <dataValidation allowBlank="1" showInputMessage="1" showErrorMessage="1" promptTitle="Lifetime stack" prompt="50.000-120.000 h (depending on time period and electrolyzer type), cf. references" sqref="F11" xr:uid="{33F72EC5-5D91-4AAD-A9CC-DF9E57373845}"/>
    <dataValidation allowBlank="1" showInputMessage="1" showErrorMessage="1" promptTitle="Annuity factor" prompt="Annuity factor for system without stack. Annuity factor of stack can be found in backend_calculations. Different lifetimes lead to the difference in annuity factors. Stack replacement costs are included in CAPEX. For further explanations see report." sqref="B12:E12" xr:uid="{EE445C16-433E-483A-800B-2E83B5F266FB}"/>
    <dataValidation allowBlank="1" showInputMessage="1" showErrorMessage="1" promptTitle="Specific energy consumption" prompt="Specific energy consumption for total system including auxiliary power." sqref="B13:E13" xr:uid="{3B4B3D1B-1EB7-4A37-91C1-67486A51B2FD}"/>
    <dataValidation allowBlank="1" showInputMessage="1" showErrorMessage="1" promptTitle="Specific energy consumption" prompt="The mean value of the studies mentioned in references is 55.5 kWh/kg. In some studies, low and high specific energy consumptions are given, which show considerable deviations from the mean value. For 2050, a mean value of 44.4 kWh/kg is predicted. " sqref="F13" xr:uid="{C1A3B5F4-5595-4DE6-BA04-169D76F34793}"/>
    <dataValidation allowBlank="1" showInputMessage="1" showErrorMessage="1" promptTitle="Energy consuption (&lt;30 bar)" prompt="Total energy consumption of the electrolyzer system including additional energy demand for external compression to the reference pressure of 30 bar, if system presure is &lt; 30 bar." sqref="B14:E14" xr:uid="{C9A2556E-9AB4-4F11-89A5-26AE326CCE01}"/>
    <dataValidation allowBlank="1" showInputMessage="1" showErrorMessage="1" promptTitle="Compressor efficiency" prompt="Only necessary if system pressure is &lt; 30 bar." sqref="B18:E18" xr:uid="{BE186EA6-8EA4-42CD-B3A2-244C7A715A77}"/>
    <dataValidation allowBlank="1" showInputMessage="1" showErrorMessage="1" promptTitle="Electricity costs" prompt="The electricity costs vary significantly between different countries. " sqref="F19" xr:uid="{FDADA2A5-3315-49FE-A008-988A3F1EF6D9}"/>
    <dataValidation allowBlank="1" showInputMessage="1" showErrorMessage="1" promptTitle="EPC" prompt="Engineering, procurement  and construction" sqref="B24:E24" xr:uid="{D948B612-7F00-4462-A7E4-352C44F7F113}"/>
    <dataValidation allowBlank="1" showInputMessage="1" showErrorMessage="1" promptTitle="Stack replacement costs" prompt="25-35 % of the CAPEX according to references." sqref="F26" xr:uid="{70FC8374-2680-4D85-ACF1-177ADA37E4B8}"/>
    <dataValidation allowBlank="1" showInputMessage="1" showErrorMessage="1" promptTitle="LCOH (LHV specific)" prompt="Does not include the sale of heat and O2." sqref="F35" xr:uid="{8AB2816E-5C54-497C-92A1-F8AC79759093}"/>
    <dataValidation allowBlank="1" showInputMessage="1" showErrorMessage="1" prompt="If the system pressure is below the reference pressure of 30 bar, cell F14 returns the energy consumption calculated with the extra energy demand for the compression to 30 bar depending on compressor efficiency. _x000a_For pressure &gt;30 bar, cell F13 applies." sqref="F17" xr:uid="{06D118D1-725F-4C44-B960-BCDB635C4DAB}"/>
  </dataValidations>
  <pageMargins left="0.7" right="0.7" top="0.78740157499999996" bottom="0.78740157499999996"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CA007-F9E4-4E64-AF80-083464CF53CD}">
  <sheetPr codeName="Tabelle10"/>
  <dimension ref="A1:S58"/>
  <sheetViews>
    <sheetView zoomScale="55" zoomScaleNormal="55" workbookViewId="0">
      <selection sqref="A1:A7"/>
    </sheetView>
  </sheetViews>
  <sheetFormatPr defaultColWidth="11.42578125" defaultRowHeight="14.65"/>
  <cols>
    <col min="1" max="1" width="11.42578125" style="1"/>
    <col min="2" max="2" width="25.42578125" style="1" customWidth="1"/>
    <col min="3" max="4" width="11.42578125" style="1"/>
    <col min="5" max="5" width="13.42578125" style="1" bestFit="1" customWidth="1"/>
    <col min="6" max="6" width="11.85546875" style="1" bestFit="1" customWidth="1"/>
    <col min="7" max="14" width="11.42578125" style="1"/>
    <col min="15" max="15" width="13.42578125" style="1" customWidth="1"/>
    <col min="16" max="17" width="11.42578125" style="1"/>
    <col min="18" max="18" width="10.85546875" style="1" hidden="1" customWidth="1"/>
    <col min="19" max="21" width="11.42578125" style="1"/>
    <col min="22" max="22" width="11" style="1" bestFit="1" customWidth="1"/>
    <col min="23" max="16384" width="11.42578125" style="1"/>
  </cols>
  <sheetData>
    <row r="1" spans="1:9">
      <c r="A1" s="195" t="s">
        <v>78</v>
      </c>
      <c r="B1" s="182" t="s">
        <v>79</v>
      </c>
      <c r="C1" s="182"/>
      <c r="D1" s="182" t="s">
        <v>80</v>
      </c>
      <c r="E1" s="182"/>
      <c r="F1" s="69">
        <v>30</v>
      </c>
      <c r="G1" s="70" t="s">
        <v>48</v>
      </c>
    </row>
    <row r="2" spans="1:9">
      <c r="A2" s="196"/>
      <c r="B2" s="182" t="s">
        <v>81</v>
      </c>
      <c r="C2" s="182"/>
      <c r="D2" s="182" t="s">
        <v>82</v>
      </c>
      <c r="E2" s="182"/>
      <c r="F2" s="71">
        <f>Dashboard!F17</f>
        <v>1</v>
      </c>
      <c r="G2" s="70" t="s">
        <v>48</v>
      </c>
    </row>
    <row r="3" spans="1:9">
      <c r="A3" s="196"/>
      <c r="B3" s="182" t="s">
        <v>83</v>
      </c>
      <c r="C3" s="182"/>
      <c r="D3" s="182" t="s">
        <v>84</v>
      </c>
      <c r="E3" s="182"/>
      <c r="F3" s="69">
        <v>1.4</v>
      </c>
      <c r="G3" s="70" t="s">
        <v>41</v>
      </c>
    </row>
    <row r="4" spans="1:9">
      <c r="A4" s="196"/>
      <c r="B4" s="182" t="s">
        <v>85</v>
      </c>
      <c r="C4" s="182"/>
      <c r="D4" s="182" t="s">
        <v>86</v>
      </c>
      <c r="E4" s="182"/>
      <c r="F4" s="72">
        <f>Dashboard!F18</f>
        <v>80</v>
      </c>
      <c r="G4" s="73" t="s">
        <v>35</v>
      </c>
    </row>
    <row r="5" spans="1:9">
      <c r="A5" s="196"/>
      <c r="B5" s="182" t="s">
        <v>87</v>
      </c>
      <c r="C5" s="182"/>
      <c r="D5" s="182" t="s">
        <v>88</v>
      </c>
      <c r="E5" s="182"/>
      <c r="F5" s="69">
        <f>273.15+25</f>
        <v>298.14999999999998</v>
      </c>
      <c r="G5" s="70" t="s">
        <v>89</v>
      </c>
    </row>
    <row r="6" spans="1:9">
      <c r="A6" s="196"/>
      <c r="B6" s="182" t="s">
        <v>90</v>
      </c>
      <c r="C6" s="182"/>
      <c r="D6" s="182" t="s">
        <v>91</v>
      </c>
      <c r="E6" s="182"/>
      <c r="F6" s="69">
        <v>14.3</v>
      </c>
      <c r="G6" s="70" t="s">
        <v>92</v>
      </c>
    </row>
    <row r="7" spans="1:9">
      <c r="A7" s="196"/>
      <c r="B7" s="182" t="s">
        <v>93</v>
      </c>
      <c r="C7" s="182"/>
      <c r="D7" s="182" t="s">
        <v>94</v>
      </c>
      <c r="E7" s="182"/>
      <c r="F7" s="74">
        <f>((F6*F5)/(F4*0.01))*(POWER((F2/F1),((1-F3)/F3))-1)*0.000278</f>
        <v>2.433675379156103</v>
      </c>
      <c r="G7" s="70" t="s">
        <v>95</v>
      </c>
    </row>
    <row r="9" spans="1:9" ht="14.45" customHeight="1">
      <c r="A9" s="187" t="s">
        <v>96</v>
      </c>
      <c r="F9" s="65" t="str">
        <f>-Dashboard!T23&amp;"%"</f>
        <v>-40%</v>
      </c>
      <c r="G9" s="66" t="str">
        <f>"+"&amp;Dashboard!T23&amp;"%"</f>
        <v>+40%</v>
      </c>
      <c r="H9" s="67" t="str">
        <f>-Dashboard!T23&amp;"%"</f>
        <v>-40%</v>
      </c>
      <c r="I9" s="68" t="str">
        <f>"+"&amp;Dashboard!T23&amp;"%"</f>
        <v>+40%</v>
      </c>
    </row>
    <row r="10" spans="1:9" ht="14.45" customHeight="1">
      <c r="A10" s="188"/>
      <c r="B10" s="198" t="s">
        <v>34</v>
      </c>
      <c r="C10" s="182"/>
      <c r="D10" s="182"/>
      <c r="E10" s="70" t="s">
        <v>41</v>
      </c>
      <c r="F10" s="75">
        <f>IF(Dashboard!F17&lt;30, (33.33/(33.33/Dashboard!F14))*((Backend_calculations!B20+Dashboard!F22*0.01)*(Dashboard!F31/Dashboard!F15)+(Dashboard!F19/1000)), (33.33/(33.33/Dashboard!F13))*((Backend_calculations!B20+Dashboard!F22*0.01)*(Dashboard!F31/Dashboard!F15)+(Dashboard!F19/1000)))</f>
        <v>5.6089979767766698</v>
      </c>
      <c r="G10" s="74">
        <f>IF(Dashboard!F17&lt;30, (33.33/(33.33/Dashboard!F14))*((C20+Dashboard!F22*0.01)*(Dashboard!F31/Dashboard!F15)+(Dashboard!F19/1000)), (33.33/(33.33/Dashboard!F13))*((C20+Dashboard!F22*0.01)*(Dashboard!F31/Dashboard!F15)+(Dashboard!F19/1000)))</f>
        <v>6.3936458411800405</v>
      </c>
      <c r="H10" s="74">
        <f>IF(Dashboard!F17&lt;30, -(33.33/(33.33/Dashboard!F14))*((Dashboard!F12+Dashboard!F22*0.01)*(Dashboard!F31/Dashboard!F15)+(Dashboard!F19/1000))+F10, -(33.33/(33.33/Dashboard!F13))*((Dashboard!F12+Dashboard!F22*0.01)*(Dashboard!F31/Dashboard!F15)+(Dashboard!F19/1000))+F10)</f>
        <v>-0.37157842432257571</v>
      </c>
      <c r="I10" s="74">
        <f>IF(Dashboard!F17&lt;30, -(33.33/(33.33/Dashboard!F14))*((Dashboard!F12+Dashboard!F22*0.01)*(Dashboard!F31/Dashboard!F15)+(Dashboard!F19/1000))+G10, -(33.33/(33.33/Dashboard!F13))*((Dashboard!F12+Dashboard!F22*0.01)*(Dashboard!F31/Dashboard!F15)+(Dashboard!F19/1000))+G10)</f>
        <v>0.41306944008079505</v>
      </c>
    </row>
    <row r="11" spans="1:9">
      <c r="A11" s="188"/>
      <c r="B11" s="198" t="s">
        <v>97</v>
      </c>
      <c r="C11" s="182"/>
      <c r="D11" s="182"/>
      <c r="E11" s="70" t="s">
        <v>98</v>
      </c>
      <c r="F11" s="71">
        <f>IF(Dashboard!F17&lt;30, (33.33/(33.33/Dashboard!F14))*((Dashboard!F12+Dashboard!F22*0.01)*((Dashboard!F31*(1-Dashboard!T23*0.01))/Dashboard!F15)+(Dashboard!F19/1000)), (33.33/(33.33/Dashboard!F13))*((Dashboard!F12+Dashboard!F22*0.01)*((Dashboard!F31*(1-Dashboard!T23*0.01))/Dashboard!F15)+(Dashboard!F19/1000)))</f>
        <v>5.2104887512759186</v>
      </c>
      <c r="G11" s="71">
        <f>IF(Dashboard!F17&lt;30, (33.33/(33.33/Dashboard!F14))*((Dashboard!F12+Dashboard!F22*0.01)*((Dashboard!F31*(1+Dashboard!T23*0.01))/Dashboard!F15)+(Dashboard!F19/1000)), (33.33/(33.33/Dashboard!F13))*((Dashboard!F12+Dashboard!F22*0.01)*((Dashboard!F31*(1+Dashboard!T23*0.01))/Dashboard!F15)+(Dashboard!F19/1000)))</f>
        <v>6.7506640509225733</v>
      </c>
      <c r="H11" s="71">
        <f>IF(Dashboard!F17&lt;30, -(33.33/(33.33/Dashboard!F14))*((Dashboard!F12+Dashboard!F22*0.01)*(Dashboard!F31/Dashboard!F15)+(Dashboard!F19/1000))+F11, -(33.33/(33.33/Dashboard!F13))*((Dashboard!F12+Dashboard!F22*0.01)*(Dashboard!F31/Dashboard!F15)+(Dashboard!F19/1000))+F11)</f>
        <v>-0.77008764982332689</v>
      </c>
      <c r="I11" s="71">
        <f>IF(Dashboard!F17&lt;30, -(33.33/(33.33/Dashboard!F14))*((Dashboard!F12+Dashboard!F22*0.01)*(Dashboard!F31/Dashboard!F15)+(Dashboard!F19/1000))+G11, -(33.33/(33.33/Dashboard!F13))*((Dashboard!F12+Dashboard!F22*0.01)*(Dashboard!F31/Dashboard!F15)+(Dashboard!F19/1000))+G11)</f>
        <v>0.77008764982332778</v>
      </c>
    </row>
    <row r="12" spans="1:9">
      <c r="A12" s="188"/>
      <c r="B12" s="198" t="s">
        <v>55</v>
      </c>
      <c r="C12" s="182"/>
      <c r="D12" s="182"/>
      <c r="E12" s="70" t="s">
        <v>98</v>
      </c>
      <c r="F12" s="71">
        <f>IF(Dashboard!F17&lt;30, (33.33/(33.33/Dashboard!F14))*((Dashboard!F12+Dashboard!F22*0.01*(1-Dashboard!T23*0.01))*(Dashboard!F31/Dashboard!F15)+(Dashboard!F19/1000)), (33.33/(33.33/Dashboard!F13))*((Dashboard!F12+Dashboard!F22*0.01*(1-Dashboard!T23*0.01))*(Dashboard!F31/Dashboard!F15)+(Dashboard!F19/1000)))</f>
        <v>5.7716661846423145</v>
      </c>
      <c r="G12" s="71">
        <f>IF(Dashboard!F17&lt;30, (33.33/(33.33/Dashboard!F14))*((Dashboard!F12+Dashboard!F22*0.01*(1+Dashboard!T23*0.01))*(Dashboard!F31/Dashboard!F15)+(Dashboard!F19/1000)), (33.33/(33.33/Dashboard!F13))*((Dashboard!F12+Dashboard!F22*0.01*(1+Dashboard!T23*0.01))*(Dashboard!F31/Dashboard!F15)+(Dashboard!F19/1000)))</f>
        <v>6.1894866175561782</v>
      </c>
      <c r="H12" s="71">
        <f>IF(Dashboard!F17&lt;30, -(33.33/(33.33/Dashboard!F14))*((Dashboard!F12+Dashboard!F22*0.01)*(Dashboard!F31/Dashboard!F15)+(Dashboard!F19/1000))+F12, -(33.33/(33.33/Dashboard!F13))*((Dashboard!F12+Dashboard!F22*0.01)*(Dashboard!F31/Dashboard!F15)+(Dashboard!F19/1000))+F12)</f>
        <v>-0.20891021645693097</v>
      </c>
      <c r="I12" s="71">
        <f>IF(Dashboard!F17&lt;30, -(33.33/(33.33/Dashboard!F14))*((Dashboard!F12+Dashboard!F22*0.01)*(Dashboard!F31/Dashboard!F15)+(Dashboard!F19/1000))+G12, -(33.33/(33.33/Dashboard!F13))*((Dashboard!F12+Dashboard!F22*0.01)*(Dashboard!F31/Dashboard!F15)+(Dashboard!F19/1000))+G12)</f>
        <v>0.20891021645693275</v>
      </c>
    </row>
    <row r="13" spans="1:9">
      <c r="A13" s="188"/>
      <c r="B13" s="198" t="s">
        <v>99</v>
      </c>
      <c r="C13" s="182"/>
      <c r="D13" s="182"/>
      <c r="E13" s="70" t="s">
        <v>100</v>
      </c>
      <c r="F13" s="75">
        <f>IF(Dashboard!F17&lt;30, (33.33/(33.33/Dashboard!F14))*((D20+Dashboard!F22*0.01)*(Dashboard!F31/Dashboard!F15)+(Dashboard!F19/1000)), (33.33/(33.33/Dashboard!F13))*((D20+Dashboard!F22*0.01)*(Dashboard!F31/Dashboard!F15)+(Dashboard!F19/1000)))</f>
        <v>6.3083251619328493</v>
      </c>
      <c r="G13" s="74">
        <f>IF(Dashboard!F17&lt;30, (33.33/(33.33/Dashboard!F14))*((E20+Dashboard!F22*0.01)*(Dashboard!F31/Dashboard!F15)+(Dashboard!F19/1000)), (33.33/(33.33/Dashboard!F13))*((E20+Dashboard!F22*0.01)*(Dashboard!F31/Dashboard!F15)+(Dashboard!F19/1000)))</f>
        <v>5.8717603571730477</v>
      </c>
      <c r="H13" s="74">
        <f>IF(Dashboard!F17&lt;30, -(33.33/(33.33/Dashboard!F14))*((Dashboard!F12+Dashboard!F22*0.01)*(Dashboard!F31/Dashboard!F15)+(Dashboard!F19/1000))+F13, -(33.33/(33.33/Dashboard!F13))*((Dashboard!F12+Dashboard!F22*0.01)*(Dashboard!F31/Dashboard!F15)+(Dashboard!F19/1000))+F13)</f>
        <v>0.32774876083360382</v>
      </c>
      <c r="I13" s="74">
        <f>IF(Dashboard!F17&lt;30, -(33.33/(33.33/Dashboard!F14))*((Dashboard!F12+Dashboard!F22*0.01)*(Dashboard!F31/Dashboard!F15)+(Dashboard!F19/1000))+G13, -(33.33/(33.33/Dashboard!F13))*((Dashboard!F12+Dashboard!F22*0.01)*(Dashboard!F31/Dashboard!F15)+(Dashboard!F19/1000))+G13)</f>
        <v>-0.10881604392619781</v>
      </c>
    </row>
    <row r="14" spans="1:9">
      <c r="A14" s="188"/>
      <c r="B14" s="198" t="s">
        <v>45</v>
      </c>
      <c r="C14" s="182"/>
      <c r="D14" s="182"/>
      <c r="E14" s="70" t="s">
        <v>101</v>
      </c>
      <c r="F14" s="74">
        <f>IF(Dashboard!F17&lt;30, (33.33/(33.33/Dashboard!F14))*((Dashboard!F12+Dashboard!F22*0.01)*(Dashboard!F31/(Dashboard!F15*(1-Dashboard!T23*0.01)))+(Dashboard!F19/1000)), (33.33/(33.33/Dashboard!F13))*((Dashboard!F12+Dashboard!F22*0.01)*(Dashboard!F31/(Dashboard!F15*(1-Dashboard!T23*0.01)))+(Dashboard!F19/1000)))</f>
        <v>7.2640558174714585</v>
      </c>
      <c r="G14" s="74">
        <f>IF(Dashboard!F17&lt;30, (33.33/(33.33/Dashboard!F14))*((Dashboard!F12+Dashboard!F22*0.01)*(Dashboard!F31/(Dashboard!F15*(1+Dashboard!T23*0.01)))+(Dashboard!F19/1000)), (33.33/(33.33/Dashboard!F13))*((Dashboard!F12+Dashboard!F22*0.01)*(Dashboard!F31/(Dashboard!F15*(1+Dashboard!T23*0.01)))+(Dashboard!F19/1000)))</f>
        <v>5.4305137940825832</v>
      </c>
      <c r="H14" s="74">
        <f>IF(Dashboard!F17&lt;30, -(33.33/(33.33/Dashboard!F14))*((Dashboard!F12+Dashboard!F22*0.01)*(Dashboard!F31/Dashboard!F15)+(Dashboard!F19/1000))+F14, -(33.33/(33.33/Dashboard!F13))*((Dashboard!F12+Dashboard!F22*0.01)*(Dashboard!F31/Dashboard!F15)+(Dashboard!F19/1000))+F14)</f>
        <v>1.283479416372213</v>
      </c>
      <c r="I14" s="74">
        <f>IF(Dashboard!F17&lt;30, -(33.33/(33.33/Dashboard!F14))*((Dashboard!F12+Dashboard!F22*0.01)*(Dashboard!F31/Dashboard!F15)+(Dashboard!F19/1000))+G14, -(33.33/(33.33/Dashboard!F13))*((Dashboard!F12+Dashboard!F22*0.01)*(Dashboard!F31/Dashboard!F15)+(Dashboard!F19/1000))+G14)</f>
        <v>-0.55006260701666232</v>
      </c>
    </row>
    <row r="15" spans="1:9">
      <c r="A15" s="188"/>
      <c r="B15" s="198" t="s">
        <v>50</v>
      </c>
      <c r="C15" s="182"/>
      <c r="D15" s="182"/>
      <c r="E15" s="70" t="s">
        <v>98</v>
      </c>
      <c r="F15" s="71">
        <f>IF(Dashboard!F17&lt;30,(33.33/(33.33/Dashboard!F14))*((Dashboard!F12+Dashboard!F22*0.01)*(Dashboard!F31/Dashboard!F15)+((Dashboard!F19/1000)*(1-Dashboard!T23*0.01))),(33.33/(33.33/Dashboard!F13))*((Dashboard!F12+Dashboard!F22*0.01)*(Dashboard!F31/Dashboard!F15)+((Dashboard!F19/1000)*(1-Dashboard!T23*0.01))))</f>
        <v>4.3584334904828745</v>
      </c>
      <c r="G15" s="71">
        <f>IF(Dashboard!F17&lt;30,(33.33/(33.33/Dashboard!F14))*((Dashboard!F12+Dashboard!F22*0.01)*(Dashboard!F31/Dashboard!F15)+((Dashboard!F19/1000)*(1+Dashboard!T23*0.01))),(33.33/(33.33/Dashboard!F13))*((Dashboard!F12+Dashboard!F22*0.01)*(Dashboard!F31/Dashboard!F15)+((Dashboard!F19/1000)*(1+Dashboard!T23*0.01))))</f>
        <v>7.6027193117156173</v>
      </c>
      <c r="H15" s="71">
        <f>IF(Dashboard!F17&lt;30, -(33.33/(33.33/Dashboard!F14))*((Dashboard!F12+Dashboard!F22*0.01)*(Dashboard!F31/Dashboard!F15)+(Dashboard!F19/1000))+F15, -(33.33/(33.33/Dashboard!F13))*((Dashboard!F12+Dashboard!F22*0.01)*(Dashboard!F31/Dashboard!F15)+(Dashboard!F19/1000))+F15)</f>
        <v>-1.6221429106163709</v>
      </c>
      <c r="I15" s="71">
        <f>IF(Dashboard!F17&lt;30, -(33.33/(33.33/Dashboard!F14))*((Dashboard!F12+Dashboard!F22*0.01)*(Dashboard!F31/Dashboard!F15)+(Dashboard!F19/1000))+G15, -(33.33/(33.33/Dashboard!F13))*((Dashboard!F12+Dashboard!F22*0.01)*(Dashboard!F31/Dashboard!F15)+(Dashboard!F19/1000))+G15)</f>
        <v>1.6221429106163718</v>
      </c>
    </row>
    <row r="16" spans="1:9">
      <c r="A16" s="188"/>
      <c r="B16" s="198" t="s">
        <v>42</v>
      </c>
      <c r="C16" s="182"/>
      <c r="D16" s="182"/>
      <c r="E16" s="70" t="s">
        <v>102</v>
      </c>
      <c r="F16" s="74">
        <f>IF(Dashboard!F17&lt;30, (33.33/(33.33/(Dashboard!F14*(1-Dashboard!T23*0.01))))*((Dashboard!F12+Dashboard!F22*0.01)*(Dashboard!F31/Dashboard!F15)+(Dashboard!F19/1000)),  (33.33/(33.33/(Dashboard!F13*(1-Dashboard!T23*0.01))))*((Dashboard!F12+Dashboard!F22*0.01)*(Dashboard!F31/Dashboard!F15)+(Dashboard!F19/1000)))</f>
        <v>3.5883458406595468</v>
      </c>
      <c r="G16" s="74">
        <f>IF(Dashboard!F17&lt;30, (33.33/(33.33/(Dashboard!F14*(1+Dashboard!T23*0.01))))*((Dashboard!F12+Dashboard!F22*0.01)*(Dashboard!F31/Dashboard!F15)+(Dashboard!F19/1000)),  (33.33/(33.33/(Dashboard!F13*(1+Dashboard!T23*0.01))))*((Dashboard!F12+Dashboard!F22*0.01)*(Dashboard!F31/Dashboard!F15)+(Dashboard!F19/1000)))</f>
        <v>8.3728069615389416</v>
      </c>
      <c r="H16" s="74">
        <f>IF(Dashboard!F17&lt;30, -(33.33/(33.33/Dashboard!F14))*((Dashboard!F12+Dashboard!F22*0.01)*(Dashboard!F31/Dashboard!F15)+(Dashboard!F19/1000))+F16, -(33.33/(33.33/Dashboard!F13))*((Dashboard!F12+Dashboard!F22*0.01)*(Dashboard!F31/Dashboard!F15)+(Dashboard!F19/1000))+F16)</f>
        <v>-2.3922305604396987</v>
      </c>
      <c r="I16" s="74">
        <f>IF(Dashboard!F17&lt;30, -(33.33/(33.33/Dashboard!F14))*((Dashboard!F12+Dashboard!F22*0.01)*(Dashboard!F31/Dashboard!F15)+(Dashboard!F19/1000))+G16, -(33.33/(33.33/Dashboard!F13))*((Dashboard!F12+Dashboard!F22*0.01)*(Dashboard!F31/Dashboard!F15)+(Dashboard!F19/1000))+G16)</f>
        <v>2.3922305604396961</v>
      </c>
    </row>
    <row r="17" spans="1:19">
      <c r="A17" s="188"/>
    </row>
    <row r="18" spans="1:19" ht="30" customHeight="1">
      <c r="A18" s="188"/>
      <c r="B18" s="193" t="s">
        <v>103</v>
      </c>
      <c r="C18" s="193"/>
      <c r="D18" s="197" t="s">
        <v>104</v>
      </c>
      <c r="E18" s="197"/>
      <c r="F18" s="8"/>
    </row>
    <row r="19" spans="1:19">
      <c r="A19" s="188"/>
      <c r="B19" s="76" t="s">
        <v>105</v>
      </c>
      <c r="C19" s="77" t="s">
        <v>106</v>
      </c>
      <c r="D19" s="76" t="s">
        <v>105</v>
      </c>
      <c r="E19" s="77" t="s">
        <v>106</v>
      </c>
    </row>
    <row r="20" spans="1:19">
      <c r="A20" s="189"/>
      <c r="B20" s="74">
        <f>((Dashboard!F9*0.01*(1-Dashboard!T23*0.01))*(1+(Dashboard!F9*0.01*(1-Dashboard!T23*0.01)))^Dashboard!F10)/((1+(Dashboard!F9*0.01*(1-Dashboard!T23*0.01)))^Dashboard!F10-1)</f>
        <v>5.924258812719406E-2</v>
      </c>
      <c r="C20" s="74">
        <f>((Dashboard!F9*0.01*(1+Dashboard!T23*0.01))*(1+(Dashboard!F9*0.01*(1+Dashboard!T23*0.01)))^Dashboard!F10)/((1+(Dashboard!F9*0.01*(1+Dashboard!T23*0.01)))^Dashboard!F10-1)</f>
        <v>0.10431350199885522</v>
      </c>
      <c r="D20" s="74">
        <f>(Dashboard!F9*0.01*(1+Dashboard!F9*0.01)^(Dashboard!F10*(1-Dashboard!T23*0.01)))/((1+Dashboard!F9*0.01)^(Dashboard!F10*(1-Dashboard!T23*0.01))-1)</f>
        <v>9.9412601658362007E-2</v>
      </c>
      <c r="E20" s="74">
        <f>(Dashboard!F9*0.01*(1+Dashboard!F9*0.01)^(Dashboard!F10*(1+Dashboard!T23*0.01)))/((1+Dashboard!F9*0.01)^(Dashboard!F10*(1+Dashboard!T23*0.01))-1)</f>
        <v>7.4335907248839719E-2</v>
      </c>
    </row>
    <row r="22" spans="1:19">
      <c r="A22" s="194" t="s">
        <v>107</v>
      </c>
      <c r="B22" s="192" t="s">
        <v>76</v>
      </c>
      <c r="C22" s="192"/>
      <c r="D22" s="78">
        <f>Dashboard!F37/Dashboard!F33</f>
        <v>9.7112529028455116E-2</v>
      </c>
      <c r="E22" s="57"/>
    </row>
    <row r="23" spans="1:19">
      <c r="A23" s="194"/>
      <c r="B23" s="192" t="s">
        <v>55</v>
      </c>
      <c r="C23" s="192"/>
      <c r="D23" s="79">
        <f>Dashboard!F38/Dashboard!F33</f>
        <v>8.7401276125609606E-2</v>
      </c>
      <c r="E23" s="57"/>
    </row>
    <row r="24" spans="1:19">
      <c r="A24" s="194"/>
      <c r="B24" s="192" t="s">
        <v>50</v>
      </c>
      <c r="C24" s="192"/>
      <c r="D24" s="79">
        <f>Dashboard!F39/Dashboard!F33</f>
        <v>0.67865211596872765</v>
      </c>
      <c r="E24" s="57"/>
    </row>
    <row r="25" spans="1:19">
      <c r="A25" s="194"/>
      <c r="B25" s="192" t="s">
        <v>77</v>
      </c>
      <c r="C25" s="192"/>
      <c r="D25" s="79">
        <f>Dashboard!F40/Dashboard!F33</f>
        <v>0.13683407887720753</v>
      </c>
      <c r="E25" s="57"/>
    </row>
    <row r="26" spans="1:19">
      <c r="H26" s="56"/>
    </row>
    <row r="27" spans="1:19" s="58" customFormat="1" ht="51.4">
      <c r="A27" s="187" t="s">
        <v>108</v>
      </c>
      <c r="B27" s="2"/>
      <c r="C27" s="9"/>
      <c r="D27" s="80" t="s">
        <v>109</v>
      </c>
      <c r="E27" s="81" t="s">
        <v>110</v>
      </c>
      <c r="F27" s="80" t="s">
        <v>111</v>
      </c>
      <c r="G27" s="80" t="s">
        <v>112</v>
      </c>
      <c r="H27" s="80" t="s">
        <v>113</v>
      </c>
      <c r="I27" s="80" t="str">
        <f>Dashboard!B30&amp;" [€/kgH2]"</f>
        <v>CAPEX free user input [€/kgH2]</v>
      </c>
      <c r="J27" s="81" t="s">
        <v>114</v>
      </c>
      <c r="K27" s="80" t="s">
        <v>115</v>
      </c>
      <c r="L27" s="80" t="s">
        <v>116</v>
      </c>
      <c r="M27" s="80" t="s">
        <v>117</v>
      </c>
      <c r="N27" s="82" t="s">
        <v>118</v>
      </c>
      <c r="O27" s="81" t="s">
        <v>119</v>
      </c>
      <c r="R27" s="59" t="s">
        <v>120</v>
      </c>
      <c r="S27" s="59"/>
    </row>
    <row r="28" spans="1:19" ht="14.45" customHeight="1">
      <c r="A28" s="188"/>
      <c r="B28" s="87" t="s">
        <v>121</v>
      </c>
      <c r="C28" s="86">
        <v>0</v>
      </c>
      <c r="D28" s="83">
        <f>IF(Dashboard!F17&lt;30,(33.33/(33.33/Dashboard!F14))*(Dashboard!F23/(Dashboard!F15*Dashboard!F10)),(33.33/(33.33/Dashboard!F13))*(Dashboard!F23/(Dashboard!F15*Dashboard!F10)))</f>
        <v>0.3862245025277074</v>
      </c>
      <c r="E28" s="83">
        <f>IF(Dashboard!F17&lt;30,(33.33/(33.33/Dashboard!F14))*((Dashboard!F23*Dashboard!F26*0.01)/(Dashboard!F15*Dashboard!F10))*((Dashboard!F10/Dashboard!F25)-1),(33.33/(33.33/Dashboard!F13))*((Dashboard!F23*Dashboard!F26*0.01)/(Dashboard!F15*Dashboard!F10))*((Dashboard!F10/Dashboard!F25)-1))</f>
        <v>5.7933675379156106E-2</v>
      </c>
      <c r="F28" s="83">
        <f>IF(Dashboard!F17&lt;30,(33.33/(33.33/Dashboard!F14))*((Dashboard!F23*Dashboard!F24*0.01)/(Dashboard!F15*Dashboard!F10)),(33.33/(33.33/Dashboard!F13))*((Dashboard!F23*Dashboard!F24*0.01)/(Dashboard!F15*Dashboard!F10)))</f>
        <v>0.11586735075831221</v>
      </c>
      <c r="G28" s="84">
        <f>IF(Dashboard!F17&lt;30,(33.33/(33.33/Dashboard!F14))*(Dashboard!F29/(Dashboard!F15*Dashboard!F10)),(33.33/(33.33/Dashboard!F13))*(Dashboard!F29/(Dashboard!F15*Dashboard!F10)))</f>
        <v>0</v>
      </c>
      <c r="H28" s="83">
        <f>IF(Dashboard!F17&lt;30,(33.33/(33.33/Dashboard!F14))*((Dashboard!F28*F7/Dashboard!F14)/(Dashboard!F15*Dashboard!F10)),"")</f>
        <v>2.0280628159634193E-2</v>
      </c>
      <c r="I28" s="83">
        <f>IF(Dashboard!F17&lt;30,(33.33/(33.33/Dashboard!F14))*(Dashboard!F30/(Dashboard!F15*Dashboard!F10)),(33.33/(33.33/Dashboard!F13))*(Dashboard!F30/(Dashboard!F15*Dashboard!F10)))</f>
        <v>0</v>
      </c>
      <c r="J28" s="71"/>
      <c r="K28" s="71"/>
      <c r="L28" s="71"/>
      <c r="M28" s="71"/>
      <c r="N28" s="71"/>
      <c r="O28" s="71">
        <f>SUM(D28:M28)</f>
        <v>0.5803061568248099</v>
      </c>
      <c r="R28" s="1">
        <f>Dashboard!$F$37</f>
        <v>0.5803061568248099</v>
      </c>
    </row>
    <row r="29" spans="1:19" ht="14.45" customHeight="1">
      <c r="A29" s="188"/>
      <c r="B29" s="87" t="s">
        <v>114</v>
      </c>
      <c r="C29" s="86">
        <f>O28</f>
        <v>0.5803061568248099</v>
      </c>
      <c r="D29" s="71"/>
      <c r="E29" s="71"/>
      <c r="F29" s="71"/>
      <c r="G29" s="71"/>
      <c r="H29" s="71"/>
      <c r="I29" s="71"/>
      <c r="J29" s="83">
        <f>Dashboard!$F$38</f>
        <v>0.52227554114232888</v>
      </c>
      <c r="K29" s="71"/>
      <c r="L29" s="71" t="str">
        <f>IF(Dashboard!F22="", (Dashboard!#REF!/Dashboard!F31)*Dashboard!F38, "")</f>
        <v/>
      </c>
      <c r="M29" s="71" t="str">
        <f>IF(Dashboard!F22="", (Dashboard!#REF!/Dashboard!F31)*Dashboard!F38, "")</f>
        <v/>
      </c>
      <c r="N29" s="71"/>
      <c r="O29" s="71">
        <f>SUM(D29:M29)</f>
        <v>0.52227554114232888</v>
      </c>
      <c r="R29" s="1">
        <f>Dashboard!$F$38</f>
        <v>0.52227554114232888</v>
      </c>
      <c r="S29" s="60"/>
    </row>
    <row r="30" spans="1:19" ht="14.45" customHeight="1">
      <c r="A30" s="188"/>
      <c r="B30" s="87" t="s">
        <v>115</v>
      </c>
      <c r="C30" s="86">
        <f>C29+O29</f>
        <v>1.1025816979671388</v>
      </c>
      <c r="D30" s="71"/>
      <c r="E30" s="71"/>
      <c r="F30" s="71"/>
      <c r="G30" s="71"/>
      <c r="H30" s="71"/>
      <c r="I30" s="71"/>
      <c r="J30" s="71"/>
      <c r="K30" s="83">
        <f>(33.33/(33.33/Dashboard!F13))*(Dashboard!F19/1000)</f>
        <v>3.8850000000000002</v>
      </c>
      <c r="L30" s="83">
        <f>IF(Dashboard!F17&lt;30, ((33.33/(33.33/Dashboard!F14))*(Dashboard!F19/1000)-(33.33/(33.33/Dashboard!F13))*(Dashboard!F19/1000)),0)</f>
        <v>0.17035727654092758</v>
      </c>
      <c r="M30" s="71"/>
      <c r="N30" s="71"/>
      <c r="O30" s="85">
        <f>SUM(D30:M30)</f>
        <v>4.0553572765409278</v>
      </c>
      <c r="R30" s="56">
        <f>Dashboard!$F$39</f>
        <v>4.0553572765409278</v>
      </c>
      <c r="S30" s="56"/>
    </row>
    <row r="31" spans="1:19" ht="14.45" customHeight="1">
      <c r="A31" s="188"/>
      <c r="B31" s="87" t="s">
        <v>122</v>
      </c>
      <c r="C31" s="86">
        <f>C30+O30</f>
        <v>5.1579389745080668</v>
      </c>
      <c r="D31" s="83">
        <f>F45</f>
        <v>0.54750880566957283</v>
      </c>
      <c r="E31" s="83">
        <f>F46</f>
        <v>7.7155360474222737E-2</v>
      </c>
      <c r="F31" s="83">
        <f>IF(Dashboard!F17&lt;30, ((((Dashboard!F23*Dashboard!F24*0.01)*Dashboard!F12-((Dashboard!F23*Dashboard!F24*0.01)/Dashboard!F10))/Dashboard!F15)*Dashboard!F14), ((((Dashboard!F23*Dashboard!F24*0.01)*Dashboard!F12-((Dashboard!F23*Dashboard!F24*0.01)/Dashboard!F10))/Dashboard!F15)*Dashboard!F13))</f>
        <v>0.16425264170087189</v>
      </c>
      <c r="G31" s="83">
        <f>IF(Dashboard!F17&lt;30, (((Dashboard!F29*Dashboard!F12-(Dashboard!F29/Dashboard!F10))/Dashboard!F15)*Dashboard!F14), (((Dashboard!F29*Dashboard!F12-(Dashboard!F29/Dashboard!F10))/Dashboard!F15)*Dashboard!F13))</f>
        <v>0</v>
      </c>
      <c r="H31" s="83">
        <f>IF(Dashboard!F17&lt;30, ((((Dashboard!F28*F7/Dashboard!F14)*Dashboard!F12-((Dashboard!F28*F7/Dashboard!F14)/Dashboard!F10))/Dashboard!F15)*Dashboard!F14), "")</f>
        <v>2.8749658370298373E-2</v>
      </c>
      <c r="I31" s="83">
        <f>IF(Dashboard!F17&lt;30, (((Dashboard!F30*Dashboard!F12-(Dashboard!F30/Dashboard!F10))/Dashboard!F15)*Dashboard!F14), (((Dashboard!F30*Dashboard!F12-(Dashboard!F30/Dashboard!F10))/Dashboard!F15)*Dashboard!F13))</f>
        <v>0</v>
      </c>
      <c r="J31" s="71"/>
      <c r="K31" s="71"/>
      <c r="L31" s="71"/>
      <c r="M31" s="71"/>
      <c r="N31" s="71"/>
      <c r="O31" s="71">
        <f>SUM(D31:M31)</f>
        <v>0.81766646621496597</v>
      </c>
      <c r="R31" s="1">
        <f>Dashboard!$F$40</f>
        <v>0.81766646621496597</v>
      </c>
    </row>
    <row r="32" spans="1:19" ht="14.45" customHeight="1">
      <c r="A32" s="189"/>
      <c r="B32" s="88" t="s">
        <v>118</v>
      </c>
      <c r="C32" s="86"/>
      <c r="D32" s="71"/>
      <c r="E32" s="71"/>
      <c r="F32" s="71"/>
      <c r="G32" s="71"/>
      <c r="H32" s="71"/>
      <c r="I32" s="71"/>
      <c r="J32" s="71"/>
      <c r="K32" s="71"/>
      <c r="L32" s="71"/>
      <c r="M32" s="71"/>
      <c r="N32" s="83">
        <f>SUM(O28:O31)</f>
        <v>5.975605440723033</v>
      </c>
      <c r="O32" s="71"/>
    </row>
    <row r="33" spans="1:12">
      <c r="A33"/>
      <c r="B33"/>
      <c r="C33"/>
    </row>
    <row r="34" spans="1:12" ht="14.45" customHeight="1">
      <c r="A34" s="187" t="s">
        <v>123</v>
      </c>
      <c r="B34" s="190" t="s">
        <v>124</v>
      </c>
      <c r="C34" s="182" t="s">
        <v>125</v>
      </c>
      <c r="D34" s="182"/>
      <c r="E34" s="182"/>
      <c r="F34" s="71">
        <f>Dashboard!F23*Dashboard!F26*0.01</f>
        <v>240</v>
      </c>
      <c r="G34" s="70" t="s">
        <v>59</v>
      </c>
      <c r="L34" s="56"/>
    </row>
    <row r="35" spans="1:12">
      <c r="A35" s="188"/>
      <c r="B35" s="191"/>
      <c r="C35" s="182" t="s">
        <v>126</v>
      </c>
      <c r="D35" s="182"/>
      <c r="E35" s="182"/>
      <c r="F35" s="74">
        <f>(Dashboard!F9*0.01*(1+Dashboard!F9*0.01)^Dashboard!F10)/((1+Dashboard!F9*0.01)^Dashboard!F10-1)</f>
        <v>8.0586403511111196E-2</v>
      </c>
      <c r="G35" s="70" t="s">
        <v>41</v>
      </c>
    </row>
    <row r="36" spans="1:12">
      <c r="A36" s="188"/>
      <c r="B36" s="191"/>
      <c r="C36" s="182" t="s">
        <v>127</v>
      </c>
      <c r="D36" s="182"/>
      <c r="E36" s="182"/>
      <c r="F36" s="74">
        <f>(Dashboard!F9*0.01*(1+Dashboard!F9*0.01)^Dashboard!F25)/((1+Dashboard!F9*0.01)^Dashboard!F25-1)</f>
        <v>9.4392925743255696E-2</v>
      </c>
      <c r="G36" s="70" t="s">
        <v>41</v>
      </c>
    </row>
    <row r="37" spans="1:12">
      <c r="A37" s="188"/>
      <c r="B37" s="191"/>
      <c r="C37" s="182" t="s">
        <v>128</v>
      </c>
      <c r="D37" s="182"/>
      <c r="E37" s="182"/>
      <c r="F37" s="71">
        <f>F35*Dashboard!F27</f>
        <v>45.128385966222268</v>
      </c>
      <c r="G37" s="70" t="s">
        <v>59</v>
      </c>
    </row>
    <row r="38" spans="1:12">
      <c r="A38" s="188"/>
      <c r="B38" s="191"/>
      <c r="C38" s="182" t="s">
        <v>129</v>
      </c>
      <c r="D38" s="182"/>
      <c r="E38" s="182"/>
      <c r="F38" s="71">
        <f>F34*F36</f>
        <v>22.654302178381368</v>
      </c>
      <c r="G38" s="70" t="s">
        <v>59</v>
      </c>
    </row>
    <row r="39" spans="1:12">
      <c r="A39" s="188"/>
      <c r="B39" s="191"/>
      <c r="C39" s="182" t="s">
        <v>130</v>
      </c>
      <c r="D39" s="182"/>
      <c r="E39" s="182"/>
      <c r="F39" s="71">
        <f>Dashboard!F27/Dashboard!F10</f>
        <v>18.666666666666668</v>
      </c>
      <c r="G39" s="70" t="s">
        <v>131</v>
      </c>
    </row>
    <row r="40" spans="1:12">
      <c r="A40" s="188"/>
      <c r="B40" s="191"/>
      <c r="C40" s="182" t="s">
        <v>132</v>
      </c>
      <c r="D40" s="182"/>
      <c r="E40" s="182"/>
      <c r="F40" s="71">
        <f>(Dashboard!F10/Dashboard!F25)*(Backend_calculations!F34/Dashboard!F10)</f>
        <v>12</v>
      </c>
      <c r="G40" s="70" t="s">
        <v>131</v>
      </c>
    </row>
    <row r="41" spans="1:12">
      <c r="A41" s="188"/>
    </row>
    <row r="42" spans="1:12" ht="14.45" customHeight="1">
      <c r="A42" s="188"/>
      <c r="B42" s="184" t="s">
        <v>77</v>
      </c>
      <c r="C42" s="182" t="s">
        <v>133</v>
      </c>
      <c r="D42" s="182"/>
      <c r="E42" s="182"/>
      <c r="F42" s="71">
        <f>F37-F39</f>
        <v>26.4617192995556</v>
      </c>
      <c r="G42" s="70" t="s">
        <v>131</v>
      </c>
    </row>
    <row r="43" spans="1:12">
      <c r="A43" s="188"/>
      <c r="B43" s="185"/>
      <c r="C43" s="182" t="s">
        <v>134</v>
      </c>
      <c r="D43" s="182"/>
      <c r="E43" s="182"/>
      <c r="F43" s="71">
        <f>F38-F40</f>
        <v>10.654302178381368</v>
      </c>
      <c r="G43" s="70" t="s">
        <v>131</v>
      </c>
    </row>
    <row r="44" spans="1:12">
      <c r="A44" s="188"/>
      <c r="B44" s="185"/>
      <c r="C44" s="10"/>
      <c r="D44" s="10"/>
      <c r="E44" s="10"/>
      <c r="F44" s="43"/>
      <c r="G44" s="11"/>
    </row>
    <row r="45" spans="1:12">
      <c r="A45" s="188"/>
      <c r="B45" s="185"/>
      <c r="C45" s="182" t="s">
        <v>135</v>
      </c>
      <c r="D45" s="182"/>
      <c r="E45" s="182"/>
      <c r="F45" s="71">
        <f>IF(Dashboard!F17&lt;30, (((Dashboard!F23*F35-(Dashboard!F23/Dashboard!F10))/Dashboard!F15)*Dashboard!F14), (((Dashboard!F23*F35-(Dashboard!F23/Dashboard!F10))/Dashboard!F15)*Dashboard!F13))</f>
        <v>0.54750880566957283</v>
      </c>
      <c r="G45" s="70" t="s">
        <v>136</v>
      </c>
    </row>
    <row r="46" spans="1:12">
      <c r="A46" s="188"/>
      <c r="B46" s="185"/>
      <c r="C46" s="182" t="s">
        <v>137</v>
      </c>
      <c r="D46" s="182"/>
      <c r="E46" s="182"/>
      <c r="F46" s="71">
        <f>IF(Dashboard!F17&lt;30, (((F34*F36-(F34/Dashboard!F25))/Dashboard!F15)*Dashboard!F14)*((Dashboard!F10/Dashboard!F25)-1), (((F34*F36-(F34/Dashboard!F25))/Dashboard!F15)*Dashboard!F13)*((Dashboard!F10/Dashboard!F25)-1))</f>
        <v>7.7155360474222737E-2</v>
      </c>
      <c r="G46" s="70" t="s">
        <v>136</v>
      </c>
    </row>
    <row r="47" spans="1:12">
      <c r="A47" s="188"/>
      <c r="B47" s="185"/>
      <c r="C47" s="182" t="s">
        <v>61</v>
      </c>
      <c r="D47" s="182"/>
      <c r="E47" s="182"/>
      <c r="F47" s="71">
        <f>IF(Dashboard!F17&lt;30, ((((Dashboard!F23*Dashboard!F24*0.01)*Dashboard!F12-((Dashboard!F23*Dashboard!F24*0.01)/Dashboard!F10))/Dashboard!F15)*Dashboard!F14), ((((Dashboard!F23*Dashboard!F24*0.01)*Dashboard!F12-((Dashboard!F23*Dashboard!F24*0.01)/Dashboard!F10))/Dashboard!F15)*Dashboard!F13))</f>
        <v>0.16425264170087189</v>
      </c>
      <c r="G47" s="70" t="s">
        <v>136</v>
      </c>
    </row>
    <row r="48" spans="1:12">
      <c r="A48" s="188"/>
      <c r="B48" s="185"/>
      <c r="C48" s="182" t="s">
        <v>68</v>
      </c>
      <c r="D48" s="182"/>
      <c r="E48" s="182"/>
      <c r="F48" s="71">
        <f>IF(Dashboard!F17&lt;30, (((Dashboard!F29*Dashboard!F12-(Dashboard!F29/Dashboard!F10))/Dashboard!F15)*Dashboard!F14), (((Dashboard!F29*Dashboard!F12-(Dashboard!F29/Dashboard!F10))/Dashboard!F15)*Dashboard!F13))</f>
        <v>0</v>
      </c>
      <c r="G48" s="70" t="s">
        <v>136</v>
      </c>
    </row>
    <row r="49" spans="1:7">
      <c r="A49" s="188"/>
      <c r="B49" s="185"/>
      <c r="C49" s="182" t="s">
        <v>66</v>
      </c>
      <c r="D49" s="182"/>
      <c r="E49" s="182"/>
      <c r="F49" s="71">
        <f>IF(Dashboard!F17&lt;30, ((((Dashboard!F28*F7/Dashboard!F14)*Dashboard!F12-((Dashboard!F28*F7/Dashboard!F14)/Dashboard!F10))/Dashboard!F15)*Dashboard!F14), "")</f>
        <v>2.8749658370298373E-2</v>
      </c>
      <c r="G49" s="70" t="s">
        <v>136</v>
      </c>
    </row>
    <row r="50" spans="1:7">
      <c r="A50" s="189"/>
      <c r="B50" s="186"/>
      <c r="C50" s="182" t="str">
        <f>Dashboard!B30</f>
        <v>CAPEX free user input</v>
      </c>
      <c r="D50" s="182"/>
      <c r="E50" s="182"/>
      <c r="F50" s="71">
        <f>IF(Dashboard!F17&lt;30, (((Dashboard!F30*Dashboard!F12-(Dashboard!F30/Dashboard!F10))/Dashboard!F15)*Dashboard!F14), (((Dashboard!F30*Dashboard!F12-(Dashboard!F30/Dashboard!F10))/Dashboard!F15)*Dashboard!F13))</f>
        <v>0</v>
      </c>
      <c r="G50" s="70" t="s">
        <v>136</v>
      </c>
    </row>
    <row r="52" spans="1:7" ht="14.45" customHeight="1">
      <c r="A52" s="183" t="s">
        <v>138</v>
      </c>
      <c r="B52" s="182" t="s">
        <v>139</v>
      </c>
      <c r="C52" s="182"/>
      <c r="D52" s="74">
        <f>IF(Dashboard!F17&lt;30, Dashboard!F14-33.33, Dashboard!F13-33.33)</f>
        <v>24.603675379156101</v>
      </c>
      <c r="E52" s="70" t="s">
        <v>95</v>
      </c>
      <c r="F52" s="61"/>
      <c r="G52" s="62"/>
    </row>
    <row r="53" spans="1:7">
      <c r="A53" s="183"/>
      <c r="B53" s="182" t="s">
        <v>140</v>
      </c>
      <c r="C53" s="182"/>
      <c r="D53" s="71">
        <f>(D52/1000)*Dashboard!F21</f>
        <v>0.98414701516624403</v>
      </c>
      <c r="E53" s="70" t="s">
        <v>136</v>
      </c>
      <c r="F53" s="61"/>
    </row>
    <row r="54" spans="1:7" ht="17.100000000000001">
      <c r="A54" s="183"/>
      <c r="B54" s="182" t="s">
        <v>141</v>
      </c>
      <c r="C54" s="182"/>
      <c r="D54" s="71">
        <f>8*Dashboard!F20</f>
        <v>0.4</v>
      </c>
      <c r="E54" s="70" t="s">
        <v>136</v>
      </c>
      <c r="F54" s="61"/>
    </row>
    <row r="55" spans="1:7">
      <c r="A55" s="63"/>
      <c r="F55" s="61"/>
    </row>
    <row r="56" spans="1:7">
      <c r="A56" s="63"/>
    </row>
    <row r="57" spans="1:7">
      <c r="A57" s="63"/>
    </row>
    <row r="58" spans="1:7">
      <c r="A58" s="63"/>
    </row>
  </sheetData>
  <sheetProtection algorithmName="SHA-512" hashValue="cMvYQI3PS1hzFOPTm8yisTXdAsc66fZelb9tO4TFK9GQeCg4kJThfTxTXA9UjQ5hxPH9Oc8uAfvOqyAD8JcRxw==" saltValue="lnSDRfmHObusMly7ZH3C4Q==" spinCount="100000" sheet="1" objects="1" scenarios="1"/>
  <mergeCells count="53">
    <mergeCell ref="D18:E18"/>
    <mergeCell ref="C35:E35"/>
    <mergeCell ref="C36:E36"/>
    <mergeCell ref="B10:D10"/>
    <mergeCell ref="B11:D11"/>
    <mergeCell ref="B12:D12"/>
    <mergeCell ref="B13:D13"/>
    <mergeCell ref="B14:D14"/>
    <mergeCell ref="B15:D15"/>
    <mergeCell ref="B16:D16"/>
    <mergeCell ref="B22:C22"/>
    <mergeCell ref="A22:A25"/>
    <mergeCell ref="A27:A32"/>
    <mergeCell ref="C42:E42"/>
    <mergeCell ref="C43:E43"/>
    <mergeCell ref="A1:A7"/>
    <mergeCell ref="D1:E1"/>
    <mergeCell ref="D2:E2"/>
    <mergeCell ref="D3:E3"/>
    <mergeCell ref="D4:E4"/>
    <mergeCell ref="D5:E5"/>
    <mergeCell ref="D6:E6"/>
    <mergeCell ref="D7:E7"/>
    <mergeCell ref="A9:A20"/>
    <mergeCell ref="C37:E37"/>
    <mergeCell ref="C38:E38"/>
    <mergeCell ref="C39:E39"/>
    <mergeCell ref="B6:C6"/>
    <mergeCell ref="B7:C7"/>
    <mergeCell ref="B23:C23"/>
    <mergeCell ref="B24:C24"/>
    <mergeCell ref="B25:C25"/>
    <mergeCell ref="B18:C18"/>
    <mergeCell ref="B1:C1"/>
    <mergeCell ref="B2:C2"/>
    <mergeCell ref="B3:C3"/>
    <mergeCell ref="B4:C4"/>
    <mergeCell ref="B5:C5"/>
    <mergeCell ref="B52:C52"/>
    <mergeCell ref="B54:C54"/>
    <mergeCell ref="B53:C53"/>
    <mergeCell ref="A52:A54"/>
    <mergeCell ref="C50:E50"/>
    <mergeCell ref="B42:B50"/>
    <mergeCell ref="A34:A50"/>
    <mergeCell ref="C45:E45"/>
    <mergeCell ref="C46:E46"/>
    <mergeCell ref="C47:E47"/>
    <mergeCell ref="C48:E48"/>
    <mergeCell ref="C49:E49"/>
    <mergeCell ref="B34:B40"/>
    <mergeCell ref="C40:E40"/>
    <mergeCell ref="C34:E34"/>
  </mergeCells>
  <pageMargins left="0.7" right="0.7" top="0.78740157499999996" bottom="0.78740157499999996"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9B81B-7C0B-4A1E-A4D3-5E0EEEFB48C1}">
  <sheetPr codeName="Tabelle6"/>
  <dimension ref="A1:F10"/>
  <sheetViews>
    <sheetView zoomScale="85" zoomScaleNormal="85" workbookViewId="0">
      <selection activeCell="B17" sqref="B17"/>
    </sheetView>
  </sheetViews>
  <sheetFormatPr defaultColWidth="11.42578125" defaultRowHeight="14.65"/>
  <cols>
    <col min="1" max="4" width="11.42578125" style="1"/>
    <col min="5" max="5" width="108.140625" style="58" customWidth="1"/>
    <col min="6" max="6" width="5.5703125" style="1" customWidth="1"/>
    <col min="7" max="16384" width="11.42578125" style="1"/>
  </cols>
  <sheetData>
    <row r="1" spans="1:6" ht="18.95" customHeight="1">
      <c r="A1"/>
      <c r="B1" s="201" t="s">
        <v>142</v>
      </c>
      <c r="C1" s="201"/>
      <c r="D1" s="201"/>
      <c r="E1" s="91" t="s">
        <v>143</v>
      </c>
    </row>
    <row r="2" spans="1:6" ht="36.75" customHeight="1">
      <c r="A2" s="202" t="s">
        <v>144</v>
      </c>
      <c r="B2" s="203" t="s">
        <v>145</v>
      </c>
      <c r="C2" s="203"/>
      <c r="D2" s="203"/>
      <c r="E2" s="92" t="s">
        <v>146</v>
      </c>
    </row>
    <row r="3" spans="1:6" ht="32.25" customHeight="1">
      <c r="A3" s="202"/>
      <c r="B3" s="199" t="s">
        <v>49</v>
      </c>
      <c r="C3" s="199"/>
      <c r="D3" s="199"/>
      <c r="E3" s="92" t="s">
        <v>147</v>
      </c>
    </row>
    <row r="4" spans="1:6">
      <c r="A4" s="89" t="s">
        <v>55</v>
      </c>
      <c r="B4" s="199" t="s">
        <v>55</v>
      </c>
      <c r="C4" s="199"/>
      <c r="D4" s="199"/>
      <c r="E4" s="92" t="s">
        <v>148</v>
      </c>
    </row>
    <row r="5" spans="1:6" ht="31.5" customHeight="1">
      <c r="A5" s="200" t="s">
        <v>57</v>
      </c>
      <c r="B5" s="199" t="s">
        <v>149</v>
      </c>
      <c r="C5" s="199"/>
      <c r="D5" s="199"/>
      <c r="E5" s="92" t="s">
        <v>150</v>
      </c>
    </row>
    <row r="6" spans="1:6" ht="29.1">
      <c r="A6" s="200"/>
      <c r="B6" s="199" t="s">
        <v>151</v>
      </c>
      <c r="C6" s="199"/>
      <c r="D6" s="199"/>
      <c r="E6" s="92" t="s">
        <v>152</v>
      </c>
    </row>
    <row r="7" spans="1:6" ht="29.1">
      <c r="A7" s="90" t="s">
        <v>153</v>
      </c>
      <c r="B7" s="199" t="s">
        <v>154</v>
      </c>
      <c r="C7" s="199"/>
      <c r="D7" s="199"/>
      <c r="E7" s="92" t="s">
        <v>155</v>
      </c>
    </row>
    <row r="8" spans="1:6">
      <c r="A8" s="108"/>
      <c r="B8" s="109"/>
      <c r="C8" s="109"/>
      <c r="D8" s="109"/>
      <c r="E8" s="110"/>
    </row>
    <row r="9" spans="1:6">
      <c r="A9" s="116" t="s">
        <v>156</v>
      </c>
      <c r="B9" s="111"/>
      <c r="C9" s="111"/>
      <c r="D9" s="111"/>
      <c r="E9" s="112"/>
      <c r="F9" s="107"/>
    </row>
    <row r="10" spans="1:6">
      <c r="A10" s="113"/>
      <c r="B10" s="114"/>
      <c r="C10" s="114"/>
      <c r="D10" s="114"/>
      <c r="E10" s="115" t="s">
        <v>157</v>
      </c>
    </row>
  </sheetData>
  <sheetProtection algorithmName="SHA-512" hashValue="vt/cV+Db022mSCB6yenDnPHNGgLOHo0iuLnK+EehjUK3oGYZhoB0F+bfBgAYEUsFlMlslEDBHJGG1hnDc9jiGg==" saltValue="BZ7b6Mv9I2O5dJsKSbLx9A==" spinCount="100000" sheet="1" objects="1" scenarios="1"/>
  <mergeCells count="9">
    <mergeCell ref="B5:D5"/>
    <mergeCell ref="B7:D7"/>
    <mergeCell ref="B6:D6"/>
    <mergeCell ref="A5:A6"/>
    <mergeCell ref="B1:D1"/>
    <mergeCell ref="A2:A3"/>
    <mergeCell ref="B2:D2"/>
    <mergeCell ref="B3:D3"/>
    <mergeCell ref="B4:D4"/>
  </mergeCells>
  <hyperlinks>
    <hyperlink ref="E10" r:id="rId1" xr:uid="{8A07B089-5538-4E7F-9131-233D4B50306D}"/>
  </hyperlinks>
  <pageMargins left="0.7" right="0.7" top="0.78740157499999996" bottom="0.78740157499999996"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93C2D-E103-49BA-92FD-D07FBEBEC6AC}">
  <dimension ref="A1:P55"/>
  <sheetViews>
    <sheetView zoomScale="53" zoomScaleNormal="70" workbookViewId="0">
      <selection activeCell="W29" sqref="W29"/>
    </sheetView>
  </sheetViews>
  <sheetFormatPr defaultColWidth="11.42578125" defaultRowHeight="14.65"/>
  <cols>
    <col min="1" max="15" width="11.42578125" style="111"/>
    <col min="16" max="16" width="13.42578125" style="111" customWidth="1"/>
    <col min="17" max="16384" width="11.42578125" style="111"/>
  </cols>
  <sheetData>
    <row r="1" spans="1:16">
      <c r="A1" s="13"/>
      <c r="B1" s="13"/>
      <c r="C1" s="13"/>
      <c r="D1" s="13"/>
      <c r="E1" s="13"/>
      <c r="F1" s="13"/>
      <c r="G1" s="13"/>
      <c r="H1" s="13"/>
      <c r="I1" s="13"/>
      <c r="J1" s="13"/>
      <c r="K1" s="13"/>
      <c r="L1" s="13"/>
      <c r="M1" s="13"/>
      <c r="N1" s="13"/>
      <c r="O1" s="13"/>
      <c r="P1" s="13"/>
    </row>
    <row r="2" spans="1:16">
      <c r="A2" s="13"/>
      <c r="B2" s="13"/>
      <c r="C2" s="13"/>
      <c r="D2" s="13"/>
      <c r="E2" s="13"/>
      <c r="F2" s="13"/>
      <c r="G2" s="13"/>
      <c r="H2" s="13"/>
      <c r="I2" s="13"/>
      <c r="J2" s="13"/>
      <c r="K2" s="13"/>
      <c r="L2" s="13"/>
      <c r="M2" s="13"/>
      <c r="N2" s="13"/>
      <c r="O2" s="13"/>
      <c r="P2" s="13"/>
    </row>
    <row r="3" spans="1:16">
      <c r="A3" s="13"/>
      <c r="B3" s="13"/>
      <c r="C3" s="13"/>
      <c r="D3" s="13"/>
      <c r="E3" s="13"/>
      <c r="F3" s="13"/>
      <c r="G3" s="13"/>
      <c r="H3" s="13"/>
      <c r="I3" s="13"/>
      <c r="J3" s="13"/>
      <c r="K3" s="13"/>
      <c r="L3" s="13"/>
      <c r="M3" s="13"/>
      <c r="N3" s="13"/>
      <c r="O3" s="13"/>
      <c r="P3" s="13"/>
    </row>
    <row r="4" spans="1:16">
      <c r="A4" s="13"/>
      <c r="B4" s="13"/>
      <c r="C4" s="13"/>
      <c r="D4" s="13"/>
      <c r="E4" s="13"/>
      <c r="F4" s="13"/>
      <c r="G4" s="13"/>
      <c r="H4" s="13"/>
      <c r="I4" s="13"/>
      <c r="J4" s="13"/>
      <c r="K4" s="13"/>
      <c r="L4" s="13"/>
      <c r="M4" s="13"/>
      <c r="N4" s="13"/>
      <c r="O4" s="13"/>
      <c r="P4" s="13"/>
    </row>
    <row r="5" spans="1:16">
      <c r="A5" s="13"/>
      <c r="B5" s="13"/>
      <c r="C5" s="13"/>
      <c r="D5" s="13"/>
      <c r="E5" s="13"/>
      <c r="F5" s="13"/>
      <c r="G5" s="13"/>
      <c r="H5" s="13"/>
      <c r="I5" s="13"/>
      <c r="J5" s="13"/>
      <c r="K5" s="13"/>
      <c r="L5" s="13"/>
      <c r="M5" s="13"/>
      <c r="N5" s="13"/>
      <c r="O5" s="13"/>
      <c r="P5" s="13"/>
    </row>
    <row r="6" spans="1:16">
      <c r="A6" s="13"/>
      <c r="B6" s="13"/>
      <c r="C6" s="13"/>
      <c r="D6" s="13"/>
      <c r="E6" s="13"/>
      <c r="F6" s="13"/>
      <c r="G6" s="13"/>
      <c r="H6" s="13"/>
      <c r="I6" s="13"/>
      <c r="J6" s="13"/>
      <c r="K6" s="13"/>
      <c r="L6" s="13"/>
      <c r="M6" s="13"/>
      <c r="N6" s="13"/>
      <c r="O6" s="13"/>
      <c r="P6" s="13"/>
    </row>
    <row r="7" spans="1:16">
      <c r="A7" s="13"/>
      <c r="B7" s="13"/>
      <c r="C7" s="13"/>
      <c r="D7" s="13"/>
      <c r="E7" s="13"/>
      <c r="F7" s="13"/>
      <c r="G7" s="13"/>
      <c r="H7" s="13"/>
      <c r="I7" s="13"/>
      <c r="J7" s="13"/>
      <c r="K7" s="13"/>
      <c r="L7" s="13"/>
      <c r="M7" s="13"/>
      <c r="N7" s="13"/>
      <c r="O7" s="13"/>
      <c r="P7" s="13"/>
    </row>
    <row r="8" spans="1:16">
      <c r="A8" s="13"/>
      <c r="B8" s="13"/>
      <c r="C8" s="13"/>
      <c r="D8" s="13"/>
      <c r="E8" s="13"/>
      <c r="F8" s="13"/>
      <c r="G8" s="13"/>
      <c r="H8" s="13"/>
      <c r="I8" s="13"/>
      <c r="J8" s="13"/>
      <c r="K8" s="13"/>
      <c r="L8" s="13"/>
      <c r="M8" s="13"/>
      <c r="N8" s="13"/>
      <c r="O8" s="13"/>
      <c r="P8" s="13"/>
    </row>
    <row r="9" spans="1:16">
      <c r="A9" s="13"/>
      <c r="B9" s="13"/>
      <c r="C9" s="13"/>
      <c r="D9" s="13"/>
      <c r="E9" s="13"/>
      <c r="F9" s="13"/>
      <c r="G9" s="13"/>
      <c r="H9" s="13"/>
      <c r="I9" s="13"/>
      <c r="J9" s="13"/>
      <c r="K9" s="13"/>
      <c r="L9" s="13"/>
      <c r="M9" s="13"/>
      <c r="N9" s="13"/>
      <c r="O9" s="13"/>
      <c r="P9" s="13"/>
    </row>
    <row r="10" spans="1:16">
      <c r="A10" s="13"/>
      <c r="B10" s="13"/>
      <c r="C10" s="13"/>
      <c r="D10" s="13"/>
      <c r="E10" s="13"/>
      <c r="F10" s="13"/>
      <c r="G10" s="13"/>
      <c r="H10" s="13"/>
      <c r="I10" s="13"/>
      <c r="J10" s="13"/>
      <c r="K10" s="13"/>
      <c r="L10" s="13"/>
      <c r="M10" s="13"/>
      <c r="N10" s="13"/>
      <c r="O10" s="13"/>
      <c r="P10" s="13"/>
    </row>
    <row r="11" spans="1:16">
      <c r="A11" s="13"/>
      <c r="B11" s="13"/>
      <c r="C11" s="13"/>
      <c r="D11" s="13"/>
      <c r="E11" s="13"/>
      <c r="F11" s="13"/>
      <c r="G11" s="13"/>
      <c r="H11" s="13"/>
      <c r="I11" s="13"/>
      <c r="J11" s="13"/>
      <c r="K11" s="13"/>
      <c r="L11" s="13"/>
      <c r="M11" s="13"/>
      <c r="N11" s="13"/>
      <c r="O11" s="13"/>
      <c r="P11" s="13"/>
    </row>
    <row r="12" spans="1:16">
      <c r="A12" s="13"/>
      <c r="B12" s="13"/>
      <c r="C12" s="13"/>
      <c r="D12" s="13"/>
      <c r="E12" s="13"/>
      <c r="F12" s="13"/>
      <c r="G12" s="13"/>
      <c r="H12" s="13"/>
      <c r="I12" s="13"/>
      <c r="J12" s="13"/>
      <c r="K12" s="13"/>
      <c r="L12" s="13"/>
      <c r="M12" s="13"/>
      <c r="N12" s="13"/>
      <c r="O12" s="13"/>
      <c r="P12" s="13"/>
    </row>
    <row r="13" spans="1:16">
      <c r="A13" s="13"/>
      <c r="B13" s="13"/>
      <c r="C13" s="13"/>
      <c r="D13" s="13"/>
      <c r="E13" s="13"/>
      <c r="F13" s="13"/>
      <c r="G13" s="13"/>
      <c r="H13" s="13"/>
      <c r="I13" s="13"/>
      <c r="J13" s="13"/>
      <c r="K13" s="13"/>
      <c r="L13" s="13"/>
      <c r="M13" s="13"/>
      <c r="N13" s="13"/>
      <c r="O13" s="13"/>
      <c r="P13" s="13"/>
    </row>
    <row r="14" spans="1:16">
      <c r="A14" s="13"/>
      <c r="B14" s="13"/>
      <c r="C14" s="13"/>
      <c r="D14" s="13"/>
      <c r="E14" s="13"/>
      <c r="F14" s="13"/>
      <c r="G14" s="13"/>
      <c r="H14" s="13"/>
      <c r="I14" s="13"/>
      <c r="J14" s="13"/>
      <c r="K14" s="13"/>
      <c r="L14" s="13"/>
      <c r="M14" s="13"/>
      <c r="N14" s="13"/>
      <c r="O14" s="13"/>
      <c r="P14" s="13"/>
    </row>
    <row r="15" spans="1:16">
      <c r="A15" s="13"/>
      <c r="B15" s="13"/>
      <c r="C15" s="13"/>
      <c r="D15" s="13"/>
      <c r="E15" s="13"/>
      <c r="F15" s="13"/>
      <c r="G15" s="13"/>
      <c r="H15" s="13"/>
      <c r="I15" s="13"/>
      <c r="J15" s="13"/>
      <c r="K15" s="13"/>
      <c r="L15" s="13"/>
      <c r="M15" s="13"/>
      <c r="N15" s="13"/>
      <c r="O15" s="13"/>
      <c r="P15" s="13"/>
    </row>
    <row r="16" spans="1:16">
      <c r="A16" s="13"/>
      <c r="B16" s="13"/>
      <c r="C16" s="13"/>
      <c r="D16" s="13"/>
      <c r="E16" s="13"/>
      <c r="F16" s="13"/>
      <c r="G16" s="13"/>
      <c r="H16" s="13"/>
      <c r="I16" s="13"/>
      <c r="J16" s="13"/>
      <c r="K16" s="13"/>
      <c r="L16" s="13"/>
      <c r="M16" s="13"/>
      <c r="N16" s="13"/>
      <c r="O16" s="13"/>
      <c r="P16" s="13"/>
    </row>
    <row r="17" spans="1:16">
      <c r="A17" s="13"/>
      <c r="B17" s="13"/>
      <c r="C17" s="13"/>
      <c r="D17" s="13"/>
      <c r="E17" s="13"/>
      <c r="F17" s="13"/>
      <c r="G17" s="13"/>
      <c r="H17" s="13"/>
      <c r="I17" s="13"/>
      <c r="J17" s="13"/>
      <c r="K17" s="13"/>
      <c r="L17" s="13"/>
      <c r="M17" s="13"/>
      <c r="N17" s="13"/>
      <c r="O17" s="13"/>
      <c r="P17" s="13"/>
    </row>
    <row r="18" spans="1:16">
      <c r="A18" s="13"/>
      <c r="B18" s="13"/>
      <c r="C18" s="13"/>
      <c r="D18" s="13"/>
      <c r="E18" s="13"/>
      <c r="F18" s="13"/>
      <c r="G18" s="13"/>
      <c r="H18" s="13"/>
      <c r="I18" s="13"/>
      <c r="J18" s="13"/>
      <c r="K18" s="13"/>
      <c r="L18" s="13"/>
      <c r="M18" s="13"/>
      <c r="N18" s="13"/>
      <c r="O18" s="13"/>
      <c r="P18" s="13"/>
    </row>
    <row r="19" spans="1:16">
      <c r="A19" s="13"/>
      <c r="B19" s="13"/>
      <c r="C19" s="13"/>
      <c r="D19" s="13"/>
      <c r="E19" s="13"/>
      <c r="F19" s="13"/>
      <c r="G19" s="13"/>
      <c r="H19" s="13"/>
      <c r="I19" s="13"/>
      <c r="J19" s="13"/>
      <c r="K19" s="13"/>
      <c r="L19" s="13"/>
      <c r="M19" s="13"/>
      <c r="N19" s="13"/>
      <c r="O19" s="13"/>
      <c r="P19" s="13"/>
    </row>
    <row r="20" spans="1:16">
      <c r="A20" s="13"/>
      <c r="B20" s="13"/>
      <c r="C20" s="13"/>
      <c r="D20" s="13"/>
      <c r="E20" s="13"/>
      <c r="F20" s="13"/>
      <c r="G20" s="13"/>
      <c r="H20" s="13"/>
      <c r="I20" s="13"/>
      <c r="J20" s="13"/>
      <c r="K20" s="13"/>
      <c r="L20" s="13"/>
      <c r="M20" s="13"/>
      <c r="N20" s="13"/>
      <c r="O20" s="13"/>
      <c r="P20" s="13"/>
    </row>
    <row r="21" spans="1:16">
      <c r="A21" s="13"/>
      <c r="B21" s="13"/>
      <c r="C21" s="13"/>
      <c r="D21" s="13"/>
      <c r="E21" s="13"/>
      <c r="F21" s="13"/>
      <c r="G21" s="13"/>
      <c r="H21" s="13"/>
      <c r="I21" s="13"/>
      <c r="J21" s="13"/>
      <c r="K21" s="13"/>
      <c r="L21" s="13"/>
      <c r="M21" s="13"/>
      <c r="N21" s="13"/>
      <c r="O21" s="13"/>
      <c r="P21" s="13"/>
    </row>
    <row r="22" spans="1:16">
      <c r="A22" s="13"/>
      <c r="B22" s="13"/>
      <c r="C22" s="13"/>
      <c r="D22" s="13"/>
      <c r="E22" s="13"/>
      <c r="F22" s="13"/>
      <c r="G22" s="13"/>
      <c r="H22" s="13"/>
      <c r="I22" s="13"/>
      <c r="J22" s="13"/>
      <c r="K22" s="13"/>
      <c r="L22" s="13"/>
      <c r="M22" s="13"/>
      <c r="N22" s="13"/>
      <c r="O22" s="13"/>
      <c r="P22" s="13"/>
    </row>
    <row r="23" spans="1:16">
      <c r="A23" s="13"/>
      <c r="B23" s="13"/>
      <c r="C23" s="13"/>
      <c r="D23" s="13"/>
      <c r="E23" s="13"/>
      <c r="F23" s="13"/>
      <c r="G23" s="13"/>
      <c r="H23" s="13"/>
      <c r="I23" s="13"/>
      <c r="J23" s="13"/>
      <c r="K23" s="13"/>
      <c r="L23" s="13"/>
      <c r="M23" s="13"/>
      <c r="N23" s="13"/>
      <c r="O23" s="13"/>
      <c r="P23" s="13"/>
    </row>
    <row r="24" spans="1:16">
      <c r="A24" s="13"/>
      <c r="B24" s="13"/>
      <c r="C24" s="13"/>
      <c r="D24" s="13"/>
      <c r="E24" s="13"/>
      <c r="F24" s="13"/>
      <c r="G24" s="13"/>
      <c r="H24" s="13"/>
      <c r="I24" s="13"/>
      <c r="J24" s="13"/>
      <c r="K24" s="13"/>
      <c r="L24" s="13"/>
      <c r="M24" s="13"/>
      <c r="N24" s="13"/>
      <c r="O24" s="13"/>
      <c r="P24" s="13"/>
    </row>
    <row r="25" spans="1:16">
      <c r="A25" s="13"/>
      <c r="B25" s="13"/>
      <c r="C25" s="13"/>
      <c r="D25" s="13"/>
      <c r="E25" s="13"/>
      <c r="F25" s="13"/>
      <c r="G25" s="13"/>
      <c r="H25" s="13"/>
      <c r="I25" s="13"/>
      <c r="J25" s="13"/>
      <c r="K25" s="13"/>
      <c r="L25" s="13"/>
      <c r="M25" s="13"/>
      <c r="N25" s="13"/>
      <c r="O25" s="13"/>
      <c r="P25" s="13"/>
    </row>
    <row r="26" spans="1:16">
      <c r="A26" s="13"/>
      <c r="B26" s="13"/>
      <c r="C26" s="13"/>
      <c r="D26" s="13"/>
      <c r="E26" s="13"/>
      <c r="F26" s="13"/>
      <c r="G26" s="13"/>
      <c r="H26" s="13"/>
      <c r="I26" s="13"/>
      <c r="J26" s="13"/>
      <c r="K26" s="13"/>
      <c r="L26" s="13"/>
      <c r="M26" s="13"/>
      <c r="N26" s="13"/>
      <c r="O26" s="13"/>
      <c r="P26" s="13"/>
    </row>
    <row r="27" spans="1:16">
      <c r="A27" s="13"/>
      <c r="B27" s="13"/>
      <c r="C27" s="13"/>
      <c r="D27" s="13"/>
      <c r="E27" s="13"/>
      <c r="F27" s="13"/>
      <c r="G27" s="13"/>
      <c r="H27" s="13"/>
      <c r="I27" s="13"/>
      <c r="J27" s="13"/>
      <c r="K27" s="13"/>
      <c r="L27" s="13"/>
      <c r="M27" s="13"/>
      <c r="N27" s="13"/>
      <c r="O27" s="13"/>
      <c r="P27" s="13"/>
    </row>
    <row r="28" spans="1:16">
      <c r="A28" s="13"/>
      <c r="B28" s="13"/>
      <c r="C28" s="13"/>
      <c r="D28" s="13"/>
      <c r="E28" s="13"/>
      <c r="F28" s="13"/>
      <c r="G28" s="13"/>
      <c r="H28" s="13"/>
      <c r="I28" s="13"/>
      <c r="J28" s="13"/>
      <c r="K28" s="13"/>
      <c r="L28" s="13"/>
      <c r="M28" s="13"/>
      <c r="N28" s="13"/>
      <c r="O28" s="13"/>
      <c r="P28" s="13"/>
    </row>
    <row r="29" spans="1:16">
      <c r="A29" s="13"/>
      <c r="B29" s="13"/>
      <c r="C29" s="13"/>
      <c r="D29" s="13"/>
      <c r="E29" s="13"/>
      <c r="F29" s="13"/>
      <c r="G29" s="13"/>
      <c r="H29" s="13"/>
      <c r="I29" s="13"/>
      <c r="J29" s="13"/>
      <c r="K29" s="13"/>
      <c r="L29" s="13"/>
      <c r="M29" s="13"/>
      <c r="N29" s="13"/>
      <c r="O29" s="13"/>
      <c r="P29" s="13"/>
    </row>
    <row r="30" spans="1:16">
      <c r="A30" s="13"/>
      <c r="B30" s="13"/>
      <c r="C30" s="13"/>
      <c r="D30" s="13"/>
      <c r="E30" s="13"/>
      <c r="F30" s="13"/>
      <c r="G30" s="13"/>
      <c r="H30" s="13"/>
      <c r="I30" s="13"/>
      <c r="J30" s="13"/>
      <c r="K30" s="13"/>
      <c r="L30" s="13"/>
      <c r="M30" s="13"/>
      <c r="N30" s="13"/>
      <c r="O30" s="13"/>
      <c r="P30" s="13"/>
    </row>
    <row r="31" spans="1:16">
      <c r="A31" s="13"/>
      <c r="B31" s="13"/>
      <c r="C31" s="13"/>
      <c r="D31" s="13"/>
      <c r="E31" s="13"/>
      <c r="F31" s="13"/>
      <c r="G31" s="13"/>
      <c r="H31" s="13"/>
      <c r="I31" s="13"/>
      <c r="J31" s="13"/>
      <c r="K31" s="13"/>
      <c r="L31" s="13"/>
      <c r="M31" s="13"/>
      <c r="N31" s="13"/>
      <c r="O31" s="13"/>
      <c r="P31" s="13"/>
    </row>
    <row r="32" spans="1:16">
      <c r="A32" s="13"/>
      <c r="B32" s="13"/>
      <c r="C32" s="13"/>
      <c r="D32" s="13"/>
      <c r="E32" s="13"/>
      <c r="F32" s="13"/>
      <c r="G32" s="13"/>
      <c r="H32" s="13"/>
      <c r="I32" s="13"/>
      <c r="J32" s="13"/>
      <c r="K32" s="13"/>
      <c r="L32" s="13"/>
      <c r="M32" s="13"/>
      <c r="N32" s="13"/>
      <c r="O32" s="13"/>
      <c r="P32" s="13"/>
    </row>
    <row r="33" spans="1:16">
      <c r="A33" s="13"/>
      <c r="B33" s="13"/>
      <c r="C33" s="13"/>
      <c r="D33" s="13"/>
      <c r="E33" s="13"/>
      <c r="F33" s="13"/>
      <c r="G33" s="13"/>
      <c r="H33" s="13"/>
      <c r="I33" s="13"/>
      <c r="J33" s="13"/>
      <c r="K33" s="13"/>
      <c r="L33" s="13"/>
      <c r="M33" s="13"/>
      <c r="N33" s="13"/>
      <c r="O33" s="13"/>
      <c r="P33" s="13"/>
    </row>
    <row r="34" spans="1:16">
      <c r="A34" s="13"/>
      <c r="B34" s="13"/>
      <c r="C34" s="13"/>
      <c r="D34" s="13"/>
      <c r="E34" s="13"/>
      <c r="F34" s="13"/>
      <c r="G34" s="13"/>
      <c r="H34" s="13"/>
      <c r="I34" s="13"/>
      <c r="J34" s="13"/>
      <c r="K34" s="13"/>
      <c r="L34" s="13"/>
      <c r="M34" s="13"/>
      <c r="N34" s="13"/>
      <c r="O34" s="13"/>
      <c r="P34" s="13"/>
    </row>
    <row r="35" spans="1:16">
      <c r="A35" s="13"/>
      <c r="B35" s="13"/>
      <c r="C35" s="13"/>
      <c r="D35" s="13"/>
      <c r="E35" s="13"/>
      <c r="F35" s="13"/>
      <c r="G35" s="13"/>
      <c r="H35" s="13"/>
      <c r="I35" s="13"/>
      <c r="J35" s="13"/>
      <c r="K35" s="13"/>
      <c r="L35" s="13"/>
      <c r="M35" s="13"/>
      <c r="N35" s="13"/>
      <c r="O35" s="13"/>
      <c r="P35" s="13"/>
    </row>
    <row r="36" spans="1:16">
      <c r="A36" s="13"/>
      <c r="B36" s="13"/>
      <c r="C36" s="13"/>
      <c r="D36" s="13"/>
      <c r="E36" s="13"/>
      <c r="F36" s="13"/>
      <c r="G36" s="13"/>
      <c r="H36" s="13"/>
      <c r="I36" s="13"/>
      <c r="J36" s="13"/>
      <c r="K36" s="13"/>
      <c r="L36" s="13"/>
      <c r="M36" s="13"/>
      <c r="N36" s="13"/>
      <c r="O36" s="13"/>
      <c r="P36" s="13"/>
    </row>
    <row r="37" spans="1:16">
      <c r="A37" s="13"/>
      <c r="B37" s="13"/>
      <c r="C37" s="13"/>
      <c r="D37" s="13"/>
      <c r="E37" s="13"/>
      <c r="F37" s="13"/>
      <c r="G37" s="13"/>
      <c r="H37" s="13"/>
      <c r="I37" s="13"/>
      <c r="J37" s="13"/>
      <c r="K37" s="13"/>
      <c r="L37" s="13"/>
      <c r="M37" s="13"/>
      <c r="N37" s="13"/>
      <c r="O37" s="13"/>
      <c r="P37" s="13"/>
    </row>
    <row r="38" spans="1:16">
      <c r="A38" s="13"/>
      <c r="B38" s="13"/>
      <c r="C38" s="13"/>
      <c r="D38" s="13"/>
      <c r="E38" s="13"/>
      <c r="F38" s="13"/>
      <c r="G38" s="13"/>
      <c r="H38" s="13"/>
      <c r="I38" s="13"/>
      <c r="J38" s="13"/>
      <c r="K38" s="13"/>
      <c r="L38" s="13"/>
      <c r="M38" s="13"/>
      <c r="N38" s="13"/>
      <c r="O38" s="13"/>
      <c r="P38" s="13"/>
    </row>
    <row r="39" spans="1:16">
      <c r="A39" s="13"/>
      <c r="B39" s="13"/>
      <c r="C39" s="13"/>
      <c r="D39" s="13"/>
      <c r="E39" s="13"/>
      <c r="F39" s="13"/>
      <c r="G39" s="13"/>
      <c r="H39" s="13"/>
      <c r="I39" s="13"/>
      <c r="J39" s="13"/>
      <c r="K39" s="13"/>
      <c r="L39" s="13"/>
      <c r="M39" s="13"/>
      <c r="N39" s="13"/>
      <c r="O39" s="13"/>
      <c r="P39" s="13"/>
    </row>
    <row r="40" spans="1:16">
      <c r="A40" s="13"/>
      <c r="B40" s="13"/>
      <c r="C40" s="13"/>
      <c r="D40" s="13"/>
      <c r="E40" s="13"/>
      <c r="F40" s="13"/>
      <c r="G40" s="13"/>
      <c r="H40" s="13"/>
      <c r="I40" s="13"/>
      <c r="J40" s="13"/>
      <c r="K40" s="13"/>
      <c r="L40" s="13"/>
      <c r="M40" s="13"/>
      <c r="N40" s="13"/>
      <c r="O40" s="13"/>
      <c r="P40" s="13"/>
    </row>
    <row r="41" spans="1:16">
      <c r="A41" s="13"/>
      <c r="B41" s="13"/>
      <c r="C41" s="13"/>
      <c r="D41" s="13"/>
      <c r="E41" s="13"/>
      <c r="F41" s="13"/>
      <c r="G41" s="13"/>
      <c r="H41" s="13"/>
      <c r="I41" s="13"/>
      <c r="J41" s="13"/>
      <c r="K41" s="13"/>
      <c r="L41" s="13"/>
      <c r="M41" s="13"/>
      <c r="N41" s="13"/>
      <c r="O41" s="13"/>
      <c r="P41" s="13"/>
    </row>
    <row r="42" spans="1:16">
      <c r="A42" s="13"/>
      <c r="B42" s="13"/>
      <c r="C42" s="13"/>
      <c r="D42" s="13"/>
      <c r="E42" s="13"/>
      <c r="F42" s="13"/>
      <c r="G42" s="13"/>
      <c r="H42" s="13"/>
      <c r="I42" s="13"/>
      <c r="J42" s="13"/>
      <c r="K42" s="13"/>
      <c r="L42" s="13"/>
      <c r="M42" s="13"/>
      <c r="N42" s="13"/>
      <c r="O42" s="13"/>
      <c r="P42" s="13"/>
    </row>
    <row r="43" spans="1:16">
      <c r="A43" s="13"/>
      <c r="B43" s="13"/>
      <c r="C43" s="13"/>
      <c r="D43" s="13"/>
      <c r="E43" s="13"/>
      <c r="F43" s="13"/>
      <c r="G43" s="13"/>
      <c r="H43" s="13"/>
      <c r="I43" s="13"/>
      <c r="J43" s="13"/>
      <c r="K43" s="13"/>
      <c r="L43" s="13"/>
      <c r="M43" s="13"/>
      <c r="N43" s="13"/>
      <c r="O43" s="13"/>
      <c r="P43" s="13"/>
    </row>
    <row r="44" spans="1:16">
      <c r="A44" s="13"/>
      <c r="B44" s="13"/>
      <c r="C44" s="13"/>
      <c r="D44" s="13"/>
      <c r="E44" s="13"/>
      <c r="F44" s="13"/>
      <c r="G44" s="13"/>
      <c r="H44" s="13"/>
      <c r="I44" s="13"/>
      <c r="J44" s="13"/>
      <c r="K44" s="13"/>
      <c r="L44" s="13"/>
      <c r="M44" s="13"/>
      <c r="N44" s="13"/>
      <c r="O44" s="13"/>
      <c r="P44" s="13"/>
    </row>
    <row r="45" spans="1:16">
      <c r="A45" s="13"/>
      <c r="B45" s="13"/>
      <c r="C45" s="13"/>
      <c r="D45" s="13"/>
      <c r="E45" s="13"/>
      <c r="F45" s="13"/>
      <c r="G45" s="13"/>
      <c r="H45" s="13"/>
      <c r="I45" s="13"/>
      <c r="J45" s="13"/>
      <c r="K45" s="13"/>
      <c r="L45" s="13"/>
      <c r="M45" s="13"/>
      <c r="N45" s="13"/>
      <c r="O45" s="13"/>
      <c r="P45" s="13"/>
    </row>
    <row r="46" spans="1:16">
      <c r="A46" s="13"/>
      <c r="B46" s="13"/>
      <c r="C46" s="13"/>
      <c r="D46" s="13"/>
      <c r="E46" s="13"/>
      <c r="F46" s="13"/>
      <c r="G46" s="13"/>
      <c r="H46" s="13"/>
      <c r="I46" s="13"/>
      <c r="J46" s="13"/>
      <c r="K46" s="13"/>
      <c r="L46" s="13"/>
      <c r="M46" s="13"/>
      <c r="N46" s="13"/>
      <c r="O46" s="13"/>
      <c r="P46" s="13"/>
    </row>
    <row r="47" spans="1:16">
      <c r="A47" s="13"/>
      <c r="B47" s="13"/>
      <c r="C47" s="13"/>
      <c r="D47" s="13"/>
      <c r="E47" s="13"/>
      <c r="F47" s="13"/>
      <c r="G47" s="13"/>
      <c r="H47" s="13"/>
      <c r="I47" s="13"/>
      <c r="J47" s="13"/>
      <c r="K47" s="13"/>
      <c r="L47" s="13"/>
      <c r="M47" s="13"/>
      <c r="N47" s="13"/>
      <c r="O47" s="13"/>
      <c r="P47" s="13"/>
    </row>
    <row r="48" spans="1:16">
      <c r="A48" s="13"/>
      <c r="B48" s="13"/>
      <c r="C48" s="13"/>
      <c r="D48" s="13"/>
      <c r="E48" s="13"/>
      <c r="F48" s="13"/>
      <c r="G48" s="13"/>
      <c r="H48" s="13"/>
      <c r="I48" s="13"/>
      <c r="J48" s="13"/>
      <c r="K48" s="13"/>
      <c r="L48" s="13"/>
      <c r="M48" s="13"/>
      <c r="N48" s="13"/>
      <c r="O48" s="13"/>
      <c r="P48" s="13"/>
    </row>
    <row r="49" spans="1:16">
      <c r="A49" s="13"/>
      <c r="B49" s="13"/>
      <c r="C49" s="13"/>
      <c r="D49" s="13"/>
      <c r="E49" s="13"/>
      <c r="F49" s="13"/>
      <c r="G49" s="13"/>
      <c r="H49" s="13"/>
      <c r="I49" s="13"/>
      <c r="J49" s="13"/>
      <c r="K49" s="13"/>
      <c r="L49" s="13"/>
      <c r="M49" s="13"/>
      <c r="N49" s="13"/>
      <c r="O49" s="13"/>
      <c r="P49" s="13"/>
    </row>
    <row r="50" spans="1:16">
      <c r="A50" s="13"/>
      <c r="B50" s="13"/>
      <c r="C50" s="13"/>
      <c r="D50" s="13"/>
      <c r="E50" s="13"/>
      <c r="F50" s="13"/>
      <c r="G50" s="13"/>
      <c r="H50" s="13"/>
      <c r="I50" s="13"/>
      <c r="J50" s="13"/>
      <c r="K50" s="13"/>
      <c r="L50" s="13"/>
      <c r="M50" s="13"/>
      <c r="N50" s="13"/>
      <c r="O50" s="13"/>
      <c r="P50" s="13"/>
    </row>
    <row r="51" spans="1:16">
      <c r="A51" s="13"/>
      <c r="B51" s="13"/>
      <c r="C51" s="13"/>
      <c r="D51" s="13"/>
      <c r="E51" s="13"/>
      <c r="F51" s="13"/>
      <c r="G51" s="13"/>
      <c r="H51" s="13"/>
      <c r="I51" s="13"/>
      <c r="J51" s="13"/>
      <c r="K51" s="13"/>
      <c r="L51" s="13"/>
      <c r="M51" s="13"/>
      <c r="N51" s="13"/>
      <c r="O51" s="13"/>
      <c r="P51" s="13"/>
    </row>
    <row r="52" spans="1:16">
      <c r="A52" s="13"/>
      <c r="B52" s="13"/>
      <c r="C52" s="13"/>
      <c r="D52" s="13"/>
      <c r="E52" s="13"/>
      <c r="F52" s="13"/>
      <c r="G52" s="13"/>
      <c r="H52" s="13"/>
      <c r="I52" s="13"/>
      <c r="J52" s="13"/>
      <c r="K52" s="13"/>
      <c r="L52" s="13"/>
      <c r="M52" s="13"/>
      <c r="N52" s="13"/>
      <c r="O52" s="13"/>
      <c r="P52" s="13"/>
    </row>
    <row r="53" spans="1:16">
      <c r="A53" s="13"/>
      <c r="B53" s="13"/>
      <c r="C53" s="13"/>
      <c r="D53" s="13"/>
      <c r="E53" s="13"/>
      <c r="F53" s="13"/>
      <c r="G53" s="13"/>
      <c r="H53" s="13"/>
      <c r="I53" s="13"/>
      <c r="J53" s="13"/>
      <c r="K53" s="13"/>
      <c r="L53" s="13"/>
      <c r="M53" s="13"/>
      <c r="N53" s="13"/>
      <c r="O53" s="13"/>
      <c r="P53" s="13"/>
    </row>
    <row r="54" spans="1:16">
      <c r="A54" s="13"/>
      <c r="B54" s="13"/>
      <c r="C54" s="13"/>
      <c r="D54" s="13"/>
      <c r="E54" s="13"/>
      <c r="F54" s="13"/>
      <c r="G54" s="13"/>
      <c r="H54" s="13"/>
      <c r="I54" s="13"/>
      <c r="J54" s="13"/>
      <c r="K54" s="13"/>
      <c r="L54" s="13"/>
      <c r="M54" s="13"/>
      <c r="N54" s="13"/>
      <c r="O54" s="13"/>
      <c r="P54" s="13"/>
    </row>
    <row r="55" spans="1:16">
      <c r="A55" s="13"/>
      <c r="B55" s="13"/>
      <c r="C55" s="13"/>
      <c r="D55" s="13"/>
      <c r="E55" s="13"/>
      <c r="F55" s="13"/>
      <c r="G55" s="13"/>
      <c r="H55" s="13"/>
      <c r="I55" s="13"/>
      <c r="J55" s="13"/>
      <c r="K55" s="13"/>
      <c r="L55" s="13"/>
      <c r="M55" s="13"/>
      <c r="N55" s="13"/>
      <c r="O55" s="13"/>
      <c r="P55" s="13"/>
    </row>
  </sheetData>
  <pageMargins left="0.7" right="0.7" top="0.78740157499999996" bottom="0.78740157499999996"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E3ACD2E9E836E49991F154D2C73543C" ma:contentTypeVersion="5" ma:contentTypeDescription="Create a new document." ma:contentTypeScope="" ma:versionID="134ecd3189c2c0041a1fa1fdce4dfca3">
  <xsd:schema xmlns:xsd="http://www.w3.org/2001/XMLSchema" xmlns:xs="http://www.w3.org/2001/XMLSchema" xmlns:p="http://schemas.microsoft.com/office/2006/metadata/properties" xmlns:ns2="87182f66-da0b-49ce-8941-0eabdb367515" targetNamespace="http://schemas.microsoft.com/office/2006/metadata/properties" ma:root="true" ma:fieldsID="de6cc1c1dbd1cd630a461c87d473fab1" ns2:_="">
    <xsd:import namespace="87182f66-da0b-49ce-8941-0eabdb367515"/>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182f66-da0b-49ce-8941-0eabdb3675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BECD46-B9D2-4111-83F6-E1F77629DFC4}"/>
</file>

<file path=customXml/itemProps2.xml><?xml version="1.0" encoding="utf-8"?>
<ds:datastoreItem xmlns:ds="http://schemas.openxmlformats.org/officeDocument/2006/customXml" ds:itemID="{FCC6131A-7744-4787-9DA9-CE9CB190119F}"/>
</file>

<file path=customXml/itemProps3.xml><?xml version="1.0" encoding="utf-8"?>
<ds:datastoreItem xmlns:ds="http://schemas.openxmlformats.org/officeDocument/2006/customXml" ds:itemID="{B78F1BDB-A562-4D89-83A7-9EE735F8876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Patzus</dc:creator>
  <cp:keywords/>
  <dc:description/>
  <cp:lastModifiedBy>Kanan Khasmammadov</cp:lastModifiedBy>
  <cp:revision/>
  <dcterms:created xsi:type="dcterms:W3CDTF">2024-02-28T13:39:42Z</dcterms:created>
  <dcterms:modified xsi:type="dcterms:W3CDTF">2024-02-28T13:40:15Z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0x0101006E3ACD2E9E836E49991F154D2C73543C</vt:lpwstr>
  </property>
  <property fmtid="{D5CDD505-2E9C-101B-9397-08002B2CF9AE}" pid="3" name="MediaServiceImageTags">
    <vt:lpwstr/>
  </property>
</Properties>
</file>